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<sst xmlns="http://schemas.openxmlformats.org/spreadsheetml/2006/main" count="618" uniqueCount="359">
  <si>
    <t>Строение / Работа / Материалы</t>
  </si>
  <si>
    <t>Ед.</t>
  </si>
  <si>
    <t>Объем работ</t>
  </si>
  <si>
    <t>м2</t>
  </si>
  <si>
    <t>Водоотлив из подвала</t>
  </si>
  <si>
    <t>1м3</t>
  </si>
  <si>
    <t>Врезка термокарманов</t>
  </si>
  <si>
    <t>врезка</t>
  </si>
  <si>
    <t>шт</t>
  </si>
  <si>
    <t>Временная заделка свищей и трещин на внутренних  трубопроводах и стояках</t>
  </si>
  <si>
    <t>1 место</t>
  </si>
  <si>
    <t>Гидравлическое испытание трубопроводов систем отопл.,водопровода  и горячего водоснабжения</t>
  </si>
  <si>
    <t>100 м</t>
  </si>
  <si>
    <t>Демонтаж грязевиков</t>
  </si>
  <si>
    <t>Демонтаж радиаторов</t>
  </si>
  <si>
    <t>Демонтаж элеватора</t>
  </si>
  <si>
    <t>Замеры параметров теплоносителя</t>
  </si>
  <si>
    <t>замер</t>
  </si>
  <si>
    <t>Запуск системы отопления</t>
  </si>
  <si>
    <t>1000 м3 здания</t>
  </si>
  <si>
    <t>Изготовление и установка дроссельной шайбы</t>
  </si>
  <si>
    <t>Изоляция венткоробов на чердаке (УРСА)</t>
  </si>
  <si>
    <t>м3</t>
  </si>
  <si>
    <t>м</t>
  </si>
  <si>
    <t>1 м3</t>
  </si>
  <si>
    <t>Ликвидация воздушных пробок в системе отопления, в стояке.</t>
  </si>
  <si>
    <t>1 стояк</t>
  </si>
  <si>
    <t>Мелкий ремонт изоляции</t>
  </si>
  <si>
    <t>Окраска канализационных труб</t>
  </si>
  <si>
    <t>Осмотр системы центр отоплен., водопровода, канализац  и горяч. водоснаб. в чердач. и подвал.помещен</t>
  </si>
  <si>
    <t>1000 м2</t>
  </si>
  <si>
    <t>Очистка водоприемных колодцев</t>
  </si>
  <si>
    <t>1м3 грязи, ила</t>
  </si>
  <si>
    <t>Перевод ГВС</t>
  </si>
  <si>
    <t>перевод</t>
  </si>
  <si>
    <t>Перегруппировка секций старых радиаторов</t>
  </si>
  <si>
    <t>1 радиатор</t>
  </si>
  <si>
    <t>Подготовка ТУ к отопительному сезону</t>
  </si>
  <si>
    <t>Подчеканка раструбов канализационных труб</t>
  </si>
  <si>
    <t>1 раструб</t>
  </si>
  <si>
    <t>Проверка  на прогрев отопительных приборов</t>
  </si>
  <si>
    <t>1 прибор</t>
  </si>
  <si>
    <t>Прокладка трубопроводов из полиэтиленовых труб</t>
  </si>
  <si>
    <t>Промывка трубопроводов системы центрального отопления</t>
  </si>
  <si>
    <t>узел</t>
  </si>
  <si>
    <t>Профобход квартир</t>
  </si>
  <si>
    <t>квартира</t>
  </si>
  <si>
    <t>Прочистка внутренней канализационной сети</t>
  </si>
  <si>
    <t>Прочистка внутренней ливнёвой канализации</t>
  </si>
  <si>
    <t>Прочистка дворовой канализационной сети</t>
  </si>
  <si>
    <t>Прочистка и промывка отопительных приборов радиаторов</t>
  </si>
  <si>
    <t>Прочистка и промывка трубопроводов</t>
  </si>
  <si>
    <t>Прочистка канализационной вытяжки ото льда на кровле</t>
  </si>
  <si>
    <t>Прочистка фильтров  ( грязевиков )</t>
  </si>
  <si>
    <t>Работа с соплом</t>
  </si>
  <si>
    <t>сопло</t>
  </si>
  <si>
    <t>Ревизия и ремонт ТРЖ</t>
  </si>
  <si>
    <t>Регулировка терморегулятора</t>
  </si>
  <si>
    <t>терморегулятор</t>
  </si>
  <si>
    <t>Ремонт вентилей</t>
  </si>
  <si>
    <t>Ремонт задвижек</t>
  </si>
  <si>
    <t>Ремонт обратных клапанов</t>
  </si>
  <si>
    <t>Ремонт подкачивающих насосов</t>
  </si>
  <si>
    <t>Слив  и наполнение водой системы отопления и водоснабжения</t>
  </si>
  <si>
    <t>1000 м3</t>
  </si>
  <si>
    <t>Слив и наполнение стояков</t>
  </si>
  <si>
    <t>Смена  терморегуляторов</t>
  </si>
  <si>
    <t>Смена бочат</t>
  </si>
  <si>
    <t>Смена обратных клапанов</t>
  </si>
  <si>
    <t>Смена радиаторной пробки</t>
  </si>
  <si>
    <t>пробка</t>
  </si>
  <si>
    <t>Смена сгонов</t>
  </si>
  <si>
    <t>Снятие обратных клапанов</t>
  </si>
  <si>
    <t>Тепловое испытание трубопроводов системы отопления и ГВС</t>
  </si>
  <si>
    <t>Уплотнение резьбовых соединений</t>
  </si>
  <si>
    <t>Установка  обратных клапанов</t>
  </si>
  <si>
    <t>Установка  фильтров</t>
  </si>
  <si>
    <t>фильтр</t>
  </si>
  <si>
    <t>Установка  элеваторов</t>
  </si>
  <si>
    <t>Установка балансировочных вентилей</t>
  </si>
  <si>
    <t>Установка заглушек</t>
  </si>
  <si>
    <t>заглушка</t>
  </si>
  <si>
    <t>Установка манометров</t>
  </si>
  <si>
    <t>комплект</t>
  </si>
  <si>
    <t>Установка радиаторов</t>
  </si>
  <si>
    <t>квт</t>
  </si>
  <si>
    <t>Установка регистров</t>
  </si>
  <si>
    <t>Установка термометров</t>
  </si>
  <si>
    <t xml:space="preserve">Антикорозийное покрытие трубопроводов </t>
  </si>
  <si>
    <t>Изоляция трубопроводов   (УРСА)</t>
  </si>
  <si>
    <t xml:space="preserve">Окраска трубопровода </t>
  </si>
  <si>
    <t xml:space="preserve">Смена вентилей  </t>
  </si>
  <si>
    <t xml:space="preserve">Смена задвижек </t>
  </si>
  <si>
    <t xml:space="preserve">Смена отдельных участков трубопроводов  </t>
  </si>
  <si>
    <t xml:space="preserve">Установка спускных вентилей </t>
  </si>
  <si>
    <t>Изоляция трубопроводов   (Термофлекс, Вилатерм)</t>
  </si>
  <si>
    <t>№/№</t>
  </si>
  <si>
    <t>Предлагаемый перечень и стоимость работ</t>
  </si>
  <si>
    <t>Бетонирование балконов, козырьков</t>
  </si>
  <si>
    <t>Бетонирование стен цоколя с устройством опалубки</t>
  </si>
  <si>
    <t>Восстановление и ремонт отмостки</t>
  </si>
  <si>
    <t>Выкашивание газонов моторной косилкой</t>
  </si>
  <si>
    <t>Выправка почтовых ящиков</t>
  </si>
  <si>
    <t>Герметизация вводов в подвальное помещение</t>
  </si>
  <si>
    <t>Герметизация швов желобов мастикой</t>
  </si>
  <si>
    <t>1 м шва</t>
  </si>
  <si>
    <t>Герметизация швов и трещин стеновых панелей</t>
  </si>
  <si>
    <t>Демонтаж дверных коробок</t>
  </si>
  <si>
    <t>коробок</t>
  </si>
  <si>
    <t>Демонтаж и разборка  деревянного надворного оборудования</t>
  </si>
  <si>
    <t>Демонтаж металического надворного оборудования</t>
  </si>
  <si>
    <t>1 перерез</t>
  </si>
  <si>
    <t>Демонтаж оконных коробок</t>
  </si>
  <si>
    <t>1 коробка</t>
  </si>
  <si>
    <t>Железнение балконной плиты</t>
  </si>
  <si>
    <t>Заделка выбоин в полах цементных</t>
  </si>
  <si>
    <t>Заделка отверстий, штраб в стенах и перегородках</t>
  </si>
  <si>
    <t>Заделка примыканий в местах примыкания цоколя к отмостке</t>
  </si>
  <si>
    <t>Заделка примыканий козырьков, панелей к стенам.</t>
  </si>
  <si>
    <t>Заделка трещин в асбоцементных листах кровли</t>
  </si>
  <si>
    <t>Заполнение клумб грунтом</t>
  </si>
  <si>
    <t>Заполнение песком песочниц</t>
  </si>
  <si>
    <t>Засыпка грунтом ям и неровных поверхностей</t>
  </si>
  <si>
    <t>Зашивка оконных, дверных проемов досками, фанерой</t>
  </si>
  <si>
    <t>Известковая окраска по дереву (сливных ям, туалетов)</t>
  </si>
  <si>
    <t>Изготовление  лопат</t>
  </si>
  <si>
    <t>Изготовление досок объявлений</t>
  </si>
  <si>
    <t>Изготовление песочниц</t>
  </si>
  <si>
    <t>Изготовление скребка</t>
  </si>
  <si>
    <t>Копание ям вручную без креплений для стоек и столбов без откосов глубиной до 0,7 м</t>
  </si>
  <si>
    <t>Корчевание пней вручную</t>
  </si>
  <si>
    <t>1 пень</t>
  </si>
  <si>
    <t>Малый ремонт дверных полотен</t>
  </si>
  <si>
    <t>Малый ремонт оконных переплетов</t>
  </si>
  <si>
    <t>Масляная окраска деревянных перильных ограждений, пилястр, подлестниц</t>
  </si>
  <si>
    <t>Масляная простая окраска деревянных полов</t>
  </si>
  <si>
    <t>Маслянная окраска деревянных тамбурных перегородок</t>
  </si>
  <si>
    <t>Маслянная окраска ранее окрашенных окон</t>
  </si>
  <si>
    <t>Нанесение букв и цифр по трафарету</t>
  </si>
  <si>
    <t>1 знак</t>
  </si>
  <si>
    <t>Окраска  ранее окрашенного штакетного забора</t>
  </si>
  <si>
    <t>Окраска бетонных полов</t>
  </si>
  <si>
    <t>Окраска дверей по дереву</t>
  </si>
  <si>
    <t>Окраска известковыми составами деревьев и бордюр</t>
  </si>
  <si>
    <t>Окраска известковыми составами подвалов</t>
  </si>
  <si>
    <t>Окраска известковыми составами ранее окрашенных фасадов</t>
  </si>
  <si>
    <t>Окраска клеевыми составами стен, потолков</t>
  </si>
  <si>
    <t>Окраска козырьков</t>
  </si>
  <si>
    <t>Окраска крылец, спусков в подвал</t>
  </si>
  <si>
    <t>Окраска маслянными составами плинтусов, сапожков</t>
  </si>
  <si>
    <t>Окраска масляными составами деревянных поручней</t>
  </si>
  <si>
    <t>Окраска масляными составами мет. покрытий, эл.коробов и др.мелких покрытий</t>
  </si>
  <si>
    <t>Окраска масляными составами радиаторов</t>
  </si>
  <si>
    <t>Окраска масляными составами ранее окрашенных дверей по металлу</t>
  </si>
  <si>
    <t>Окраска масляными составами ранее окрашенных поверхностей труб: стальных</t>
  </si>
  <si>
    <t>Окраска масляными составами торцов лестничных маршей</t>
  </si>
  <si>
    <t>Окраска МАФ по дереву</t>
  </si>
  <si>
    <t>Окраска МАФ по металлу</t>
  </si>
  <si>
    <t>Окраска металлических урн</t>
  </si>
  <si>
    <t>Окраска мусорных контейнеров</t>
  </si>
  <si>
    <t>Окраска нового штакетного забора</t>
  </si>
  <si>
    <t>Окраска новых деревянных заполнений проемов дверных</t>
  </si>
  <si>
    <t>Окраска новых деревянных заполнений проемов оконных</t>
  </si>
  <si>
    <t>Окраска новых МАФ по дереву</t>
  </si>
  <si>
    <t>Окраска новых МАФ по металлу</t>
  </si>
  <si>
    <t>Окраска ограждений из сетки-рабицы</t>
  </si>
  <si>
    <t>Окраска ограждений мусорных стоянок</t>
  </si>
  <si>
    <t>Окраска приямков</t>
  </si>
  <si>
    <t>Окраска силикатными красками фасадов за 2 раза</t>
  </si>
  <si>
    <t>Окраска цоколя</t>
  </si>
  <si>
    <t>Омоложение живых изгородей и  кустарников</t>
  </si>
  <si>
    <t>Омоложение одиночных кустарников</t>
  </si>
  <si>
    <t>Осенне-весенний осмотр конструкт. элемент. здания и инженерн. оборуд. с составлением актов осмотра</t>
  </si>
  <si>
    <t>чел.-ч</t>
  </si>
  <si>
    <t>Осмотр подвальных помещений с закрытием и раскрытием продухов, подвальных окон</t>
  </si>
  <si>
    <t>Осмотр чердачных помещений с закрытием слуховых окон, люков и входов на чердаке</t>
  </si>
  <si>
    <t>Остекление окон (новых, неостекленных)</t>
  </si>
  <si>
    <t>1м2 площади проемов по на</t>
  </si>
  <si>
    <t>Остекление оконных переплётов</t>
  </si>
  <si>
    <t>Очистка  козырьков от снега (слой, толщиной до 30см)</t>
  </si>
  <si>
    <t>Очистка желобов</t>
  </si>
  <si>
    <t>Очистка козырьков от мусора</t>
  </si>
  <si>
    <t>Очистка кровли от мусора</t>
  </si>
  <si>
    <t>Очистка кровли от снега и скалывание сосулек</t>
  </si>
  <si>
    <t>Очистка подвалов  от мусора</t>
  </si>
  <si>
    <t>Очистка чердака от мусора</t>
  </si>
  <si>
    <t>Перенавеска дверного полотна</t>
  </si>
  <si>
    <t>полотно</t>
  </si>
  <si>
    <t>Перенавеска почтовых ящиков</t>
  </si>
  <si>
    <t>Перетирка штукатурки</t>
  </si>
  <si>
    <t>Подготовка стандартных посадочных мест для деревьев и кустарников с круглым колом земли разм.0,5*0,4</t>
  </si>
  <si>
    <t>Подсыпка гравием</t>
  </si>
  <si>
    <t>Подсыпка песком</t>
  </si>
  <si>
    <t>Подсыпка просевшего грунта</t>
  </si>
  <si>
    <t>Посадка деревьев  и кустарников с комом земли размером 0,5*0,5*0,4м</t>
  </si>
  <si>
    <t>Приготовление бетона вручную</t>
  </si>
  <si>
    <t>Приготовление растворов вручную: цементных</t>
  </si>
  <si>
    <t>Пробивка борозд, штраб в бетонных стенах</t>
  </si>
  <si>
    <t>Пробивка отверстий в стенах</t>
  </si>
  <si>
    <t>Простая масляная окраска  стен, откосов</t>
  </si>
  <si>
    <t>Простая масляная окраска дверей</t>
  </si>
  <si>
    <t>Простая масляная окраска окон</t>
  </si>
  <si>
    <t>Простружка деревянных поручней</t>
  </si>
  <si>
    <t>Прочистка канализационной вытяжки от льда на кровле</t>
  </si>
  <si>
    <t>Прочистка ливневой канализации</t>
  </si>
  <si>
    <t>Разборка горки, к-т 0,5</t>
  </si>
  <si>
    <t>Разборка деревянного крыльца</t>
  </si>
  <si>
    <t>1 м2 горизонтальной про</t>
  </si>
  <si>
    <t>Разборка деревянных элементов конструкций крыш</t>
  </si>
  <si>
    <t>Разборка ж/б ступеней крыльца</t>
  </si>
  <si>
    <t>Разборка лаг</t>
  </si>
  <si>
    <t>Разборка плинтусов</t>
  </si>
  <si>
    <t>Разборка покрытий кровель из волокнистых асбоцементных листов</t>
  </si>
  <si>
    <t>Разборка покрытий кровель из листовой стали</t>
  </si>
  <si>
    <t>Разборка разрушенного основания балконной плиты</t>
  </si>
  <si>
    <t>Разборка стен бытовых кладовых в подвальных помещениях</t>
  </si>
  <si>
    <t>Разборка штакетного забора</t>
  </si>
  <si>
    <t>Разработка грунта вручную(при ремонте отмостки)</t>
  </si>
  <si>
    <t>Разработка грунта при разборке и устройстве ступеней крыльца</t>
  </si>
  <si>
    <t>Ремонт водосточных желобов с люльки</t>
  </si>
  <si>
    <t>Ремонт выравнивающих стяжек отдельными местами</t>
  </si>
  <si>
    <t>Ремонт дверных коробок</t>
  </si>
  <si>
    <t>Ремонт дверных полотен</t>
  </si>
  <si>
    <t>Ремонт деревянного поручня</t>
  </si>
  <si>
    <t>1 заделка в поручне</t>
  </si>
  <si>
    <t>Ремонт деревянных скамеек</t>
  </si>
  <si>
    <t>Ремонт деревянных ступеней</t>
  </si>
  <si>
    <t>Ремонт жалюзи слуховых окон</t>
  </si>
  <si>
    <t>Ремонт и восстановление герметизации коробок окон и дверей</t>
  </si>
  <si>
    <t>Ремонт и восстановление герметизации стыков  по вентшахтам  и канализационным вентстоякам</t>
  </si>
  <si>
    <t>Ремонт и восстановление герметизации стыков по вентшахтам монтажной пеной</t>
  </si>
  <si>
    <t>Ремонт и восстановления уплотнения стыков прокладками в стенах, оконных и дверных блоках</t>
  </si>
  <si>
    <t>Ремонт и укрепление водосточной воронки</t>
  </si>
  <si>
    <t>Ремонт и укрепление парапетных решеток</t>
  </si>
  <si>
    <t>Ремонт кладки стен отдельными местами</t>
  </si>
  <si>
    <t>Ремонт крылец, спусков в подвал</t>
  </si>
  <si>
    <t>Ремонт лопат к=0,5</t>
  </si>
  <si>
    <t>Ремонт металлических ограждений: на мусорных стоянках</t>
  </si>
  <si>
    <t>Ремонт металлических перильных ограждений: л/кл</t>
  </si>
  <si>
    <t>Ремонт металлических решеток</t>
  </si>
  <si>
    <t>Ремонт металлического надворного оборудования (газорезка)</t>
  </si>
  <si>
    <t>Ремонт металлического надворного оборудования (сврка стыков труб)</t>
  </si>
  <si>
    <t>1 стык</t>
  </si>
  <si>
    <t>Ремонт мусороприемных клапанов и шиберных устройств</t>
  </si>
  <si>
    <t>Ремонт надворного оборудования</t>
  </si>
  <si>
    <t>Ремонт надворного оборудования, сварочные работы</t>
  </si>
  <si>
    <t>Ремонт оконных переплетов</t>
  </si>
  <si>
    <t>Ремонт оконных переплетов с заменой брусков</t>
  </si>
  <si>
    <t>Ремонт отдельными местами рулонного покрытия с промазкой</t>
  </si>
  <si>
    <t>Ремонт отдельных мест покрытия из асбоцементных листов: обыкновенного профиля</t>
  </si>
  <si>
    <t>Ремонт переходных трапов на чердаке</t>
  </si>
  <si>
    <t>Ремонт подвальных окон</t>
  </si>
  <si>
    <t>Ремонт приямков</t>
  </si>
  <si>
    <t>Ремонт продухов в цоколях (ремонт штукатурки)</t>
  </si>
  <si>
    <t>Ремонт скребков  к=0,5</t>
  </si>
  <si>
    <t>Ремонт слуховых окон</t>
  </si>
  <si>
    <t>Ремонт форточек</t>
  </si>
  <si>
    <t>форточек</t>
  </si>
  <si>
    <t>Ремонт чердачных люков</t>
  </si>
  <si>
    <t>Ремонт шиферной кровли (поднятие сползших листов шифера)</t>
  </si>
  <si>
    <t>Ремонт штакетного забора, к-0,5</t>
  </si>
  <si>
    <t>Ремонт штукатурки  крылец, спусков в подвал</t>
  </si>
  <si>
    <t>Ремонт штукатурки внутренних стен</t>
  </si>
  <si>
    <t>Ремонт штукатурки козырьков по камню и бетону цем.-известк. раствором</t>
  </si>
  <si>
    <t>Ремонт штукатурки лестничных маршей и площадок</t>
  </si>
  <si>
    <t>Ремонт штукатурки откосов внутри здания</t>
  </si>
  <si>
    <t>Ремонт штукатурки приямков</t>
  </si>
  <si>
    <t>Ремонт штукатурки фасадов с земли и лесов</t>
  </si>
  <si>
    <t>Ремонт штукатурки фасадов с люлек, толщ.31-50 мм</t>
  </si>
  <si>
    <t>Ремонт штукатурки цоколей</t>
  </si>
  <si>
    <t>Смена дверных приборов: замков</t>
  </si>
  <si>
    <t>Смена дверных приборов: петель</t>
  </si>
  <si>
    <t>Смена дверных приборов: проушин</t>
  </si>
  <si>
    <t>Смена дверных приборов: пружин</t>
  </si>
  <si>
    <t>Смена дверных приборов: ручек-скоб</t>
  </si>
  <si>
    <t>Смена дверных приборов: шпингалет</t>
  </si>
  <si>
    <t>Смена желобов</t>
  </si>
  <si>
    <t>Смена и перестилка дощатых покрытий полов</t>
  </si>
  <si>
    <t>Смена колена водосточных труб</t>
  </si>
  <si>
    <t>Смена колпаков на канализационные и вентиляционные вытяжки</t>
  </si>
  <si>
    <t>Смена мелких покрытий из листовой стали в кровлях из рулонных и штучных материалов: карнизных свесов</t>
  </si>
  <si>
    <t>Смена мелких покрытийиз листовой стали в кровлях из рулонных и штучных материалов: настенных желобов</t>
  </si>
  <si>
    <t>Смена мусороприемных клапанов и шиберных устройств</t>
  </si>
  <si>
    <t>Смена наличников</t>
  </si>
  <si>
    <t>Смена обделок из листовой стали</t>
  </si>
  <si>
    <t>Смена обделок из листовой стали парапетов</t>
  </si>
  <si>
    <t>Смена обрешетки</t>
  </si>
  <si>
    <t>Смена оконных приборов: завертки форточные</t>
  </si>
  <si>
    <t>Смена оконных приборов: петель</t>
  </si>
  <si>
    <t>Смена оконных приборов: ручек-скоб</t>
  </si>
  <si>
    <t>Смена оконных приборов: шпингалет</t>
  </si>
  <si>
    <t>Смена отдельных участков металлического ограждения газонов</t>
  </si>
  <si>
    <t>Смена отдельных частей металлического надворного оборудования (пожилин, цепей)</t>
  </si>
  <si>
    <t>Смена покрытий из асбоцементных листов козырьков и спусков в подвал</t>
  </si>
  <si>
    <t>Смена сетки-рабицы ограждений мусорных площадок</t>
  </si>
  <si>
    <t>Смена стекол в деревянных переплетах, толщ.4-6 мм</t>
  </si>
  <si>
    <t>Смена существующих рулонных кровель на покрытия из наплавляемых материалов</t>
  </si>
  <si>
    <t>Смена ухватов для водосточных труб</t>
  </si>
  <si>
    <t>Смена частей водосточных труб</t>
  </si>
  <si>
    <t>Смена частей водосточных труб: отливы (отмёты)</t>
  </si>
  <si>
    <t>Снятие дверных полотен</t>
  </si>
  <si>
    <t>Снятие дверных пружин</t>
  </si>
  <si>
    <t>Снятие и укладка шифера для смены желобов</t>
  </si>
  <si>
    <t>Снятие и установка переплетов (для мытья и окраски окон), к.=0,5</t>
  </si>
  <si>
    <t>Снятие оконных переплетов</t>
  </si>
  <si>
    <t>Удаление аварийных деревьев, распиловка, погрузка</t>
  </si>
  <si>
    <t>Укрепление водосточных  труб</t>
  </si>
  <si>
    <t>Укрепление оконных и дверных коробок</t>
  </si>
  <si>
    <t>Укрепление парапетов с к=0,5</t>
  </si>
  <si>
    <t>Установка  нового штакетного забора</t>
  </si>
  <si>
    <t>Установка блоков в наружных и внутренних дверных проемах</t>
  </si>
  <si>
    <t>Установка блоков оконных с переплетами</t>
  </si>
  <si>
    <t>Установка дверных полотен</t>
  </si>
  <si>
    <t>Установка досок объявлений</t>
  </si>
  <si>
    <t>Установка жалюзи слуховых окон</t>
  </si>
  <si>
    <t>Установка кронштейнов с их заделкой и сверлением отверстий в бетонных стенах</t>
  </si>
  <si>
    <t>Установка металлических поручней из труб</t>
  </si>
  <si>
    <t>Установка сетки-рабицы на подвальные окна, с коэфф.0,7</t>
  </si>
  <si>
    <t>Установка скамеек</t>
  </si>
  <si>
    <t>Установка скамьи на метллических опорах с изготовлением и окраской</t>
  </si>
  <si>
    <t>Установка табличек</t>
  </si>
  <si>
    <t>1 сверление</t>
  </si>
  <si>
    <t>Установка урн</t>
  </si>
  <si>
    <t>Установка чердачных люков</t>
  </si>
  <si>
    <t>Устройство  покрытий из асбестоцементных листов по деревянной обрешетке с ее устройством</t>
  </si>
  <si>
    <t>Устройство бетонной отмостки</t>
  </si>
  <si>
    <t>Устройство бетонной площадки для контейнеров</t>
  </si>
  <si>
    <t>Устройство деревянного крыльца</t>
  </si>
  <si>
    <t>1 м2 горизонтальной проек</t>
  </si>
  <si>
    <t>Устройство и разборка деревянных неинвентарных лесов</t>
  </si>
  <si>
    <t>1 м2 вертикальной проекци</t>
  </si>
  <si>
    <t>Устройство и разборка опалубки</t>
  </si>
  <si>
    <t>Устройство и укрепление конька шиферной кровли</t>
  </si>
  <si>
    <t>Устройство кровель из оцинкованной стали</t>
  </si>
  <si>
    <t>Устройство мелких покрытий из оцинкованной стал(доп. полосы к желобам, парапеты, свесы)</t>
  </si>
  <si>
    <t>Устройство металлических ограждений (мусорных стоянок)</t>
  </si>
  <si>
    <t>Устройство металлических ограждений газонов</t>
  </si>
  <si>
    <t>Устройство обрешетки</t>
  </si>
  <si>
    <t>Устройство опалубки снизу (низ балкона)</t>
  </si>
  <si>
    <t>Устройство оснований и покрытий из песчано-гравийных смесей: однослойных</t>
  </si>
  <si>
    <t>Устройство переходных мостиков через трубы</t>
  </si>
  <si>
    <t>1 м ходов</t>
  </si>
  <si>
    <t>Устройство переходных трапов на чердаке</t>
  </si>
  <si>
    <t>Устройство плинтусов деревянных</t>
  </si>
  <si>
    <t>Устройство покрытий дощатых</t>
  </si>
  <si>
    <t>Устройство примыканий мягких кровель к стенам и парапетам</t>
  </si>
  <si>
    <t>Устройство ступеней крыльца (каркас, опалубка, бетонирование)</t>
  </si>
  <si>
    <t>Устройство форточек в оконных переплётах</t>
  </si>
  <si>
    <t>Устройство фундаментов-столбов: бетонных (для урн, скамеек)</t>
  </si>
  <si>
    <t>Устройство: и разборка опалубки (при ремонте отмостки)</t>
  </si>
  <si>
    <t>Формовочная обрезка деревьев</t>
  </si>
  <si>
    <t>дерево</t>
  </si>
  <si>
    <t>Стоимость работ с материалами (руб.)</t>
  </si>
  <si>
    <t>Ремонт мусорных контейнеров при помощи сварки</t>
  </si>
  <si>
    <t>Перенавеска водосточных труб с: люлек, земли, лестниц или подмостей</t>
  </si>
  <si>
    <t>Ремонт козырьков спусков в подвал</t>
  </si>
  <si>
    <t xml:space="preserve">Примечание: стоимость работ и услуг может меняться в зависимости от стоимости материалов, </t>
  </si>
  <si>
    <t>машин и механизмов, комплектующих.</t>
  </si>
  <si>
    <t>по содержанию и текущему ремонту  общего имущества МКД на 01.01.2019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</si>
</sst>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\-0"/>
    <numFmt numFmtId="173" formatCode="0.000;[Red]\-0.000"/>
    <numFmt numFmtId="174" formatCode="0.00;[Red]\-0.00"/>
    <numFmt numFmtId="175" formatCode="0.0000;[Red]\-0.0000"/>
    <numFmt numFmtId="176" formatCode="0.0;[Red]\-0.0"/>
    <numFmt numFmtId="177" formatCode="0.000"/>
    <numFmt numFmtId="178" formatCode="0_ ;[Red]\-0\ "/>
    <numFmt numFmtId="179" formatCode="0.00_ ;[Red]\-0.00\ "/>
  </numFmts>
  <fonts count="40"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right" vertical="center"/>
    </xf>
    <xf numFmtId="174" fontId="4" fillId="0" borderId="13" xfId="0" applyNumberFormat="1" applyFont="1" applyBorder="1" applyAlignment="1">
      <alignment horizontal="right" vertical="center"/>
    </xf>
    <xf numFmtId="174" fontId="3" fillId="33" borderId="12" xfId="0" applyNumberFormat="1" applyFont="1" applyFill="1" applyBorder="1" applyAlignment="1">
      <alignment horizontal="right" vertical="center"/>
    </xf>
    <xf numFmtId="174" fontId="3" fillId="33" borderId="14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172" fontId="4" fillId="0" borderId="10" xfId="0" applyNumberFormat="1" applyFont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179" fontId="4" fillId="0" borderId="10" xfId="0" applyNumberFormat="1" applyFont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14"/>
  <sheetViews>
    <sheetView tabSelected="1" view="pageLayout" workbookViewId="0" topLeftCell="A361">
      <selection activeCell="E40" sqref="E40"/>
    </sheetView>
  </sheetViews>
  <sheetFormatPr defaultColWidth="9.33203125" defaultRowHeight="11.25"/>
  <cols>
    <col min="1" max="1" width="8.5" style="0" customWidth="1"/>
    <col min="2" max="2" width="13.83203125" style="0" customWidth="1"/>
    <col min="3" max="3" width="44.5" style="0" customWidth="1"/>
    <col min="4" max="4" width="17" style="0" customWidth="1"/>
    <col min="5" max="6" width="14" style="20" customWidth="1"/>
    <col min="7" max="7" width="16.66015625" style="0" hidden="1" customWidth="1"/>
  </cols>
  <sheetData>
    <row r="1" ht="3.75" customHeight="1"/>
    <row r="2" ht="3.75" customHeight="1"/>
    <row r="3" spans="1:7" ht="18">
      <c r="A3" s="15" t="s">
        <v>97</v>
      </c>
      <c r="B3" s="15"/>
      <c r="C3" s="15"/>
      <c r="D3" s="15"/>
      <c r="E3" s="15"/>
      <c r="F3" s="15"/>
      <c r="G3" s="15"/>
    </row>
    <row r="4" spans="1:7" ht="19.5" customHeight="1">
      <c r="A4" s="18" t="s">
        <v>358</v>
      </c>
      <c r="B4" s="18"/>
      <c r="C4" s="18"/>
      <c r="D4" s="18"/>
      <c r="E4" s="18"/>
      <c r="F4" s="18"/>
      <c r="G4" s="18"/>
    </row>
    <row r="5" spans="1:4" ht="11.25" customHeight="1" thickBot="1">
      <c r="A5" s="16"/>
      <c r="B5" s="16"/>
      <c r="C5" s="16"/>
      <c r="D5" s="16"/>
    </row>
    <row r="6" spans="1:7" ht="53.25" customHeight="1" thickBot="1">
      <c r="A6" s="9" t="s">
        <v>96</v>
      </c>
      <c r="B6" s="17" t="s">
        <v>0</v>
      </c>
      <c r="C6" s="17"/>
      <c r="D6" s="11" t="s">
        <v>1</v>
      </c>
      <c r="E6" s="11" t="s">
        <v>2</v>
      </c>
      <c r="F6" s="10" t="s">
        <v>352</v>
      </c>
      <c r="G6" s="4" t="s">
        <v>352</v>
      </c>
    </row>
    <row r="7" spans="1:7" ht="12">
      <c r="A7" s="3">
        <v>1</v>
      </c>
      <c r="B7" s="14" t="s">
        <v>88</v>
      </c>
      <c r="C7" s="14"/>
      <c r="D7" s="12" t="s">
        <v>3</v>
      </c>
      <c r="E7" s="21">
        <v>1</v>
      </c>
      <c r="F7" s="24">
        <f>G7+(G7*5)/100</f>
        <v>98.47162499999999</v>
      </c>
      <c r="G7" s="5">
        <f>81.55*1.15</f>
        <v>93.78249999999998</v>
      </c>
    </row>
    <row r="8" spans="1:7" ht="12">
      <c r="A8" s="3">
        <v>2</v>
      </c>
      <c r="B8" s="14" t="s">
        <v>4</v>
      </c>
      <c r="C8" s="14"/>
      <c r="D8" s="12" t="s">
        <v>5</v>
      </c>
      <c r="E8" s="21">
        <v>1</v>
      </c>
      <c r="F8" s="24">
        <f aca="true" t="shared" si="0" ref="F8:F71">G8+(G8*5)/100</f>
        <v>8.802674999999999</v>
      </c>
      <c r="G8" s="5">
        <f>7.29*1.15</f>
        <v>8.3835</v>
      </c>
    </row>
    <row r="9" spans="1:7" ht="12">
      <c r="A9" s="3">
        <v>3</v>
      </c>
      <c r="B9" s="14" t="s">
        <v>6</v>
      </c>
      <c r="C9" s="14"/>
      <c r="D9" s="12" t="s">
        <v>7</v>
      </c>
      <c r="E9" s="21">
        <v>1</v>
      </c>
      <c r="F9" s="24">
        <f t="shared" si="0"/>
        <v>300.8607</v>
      </c>
      <c r="G9" s="5">
        <f>249.16*1.15</f>
        <v>286.534</v>
      </c>
    </row>
    <row r="10" spans="1:7" ht="24.75" customHeight="1">
      <c r="A10" s="3">
        <v>4</v>
      </c>
      <c r="B10" s="14" t="s">
        <v>9</v>
      </c>
      <c r="C10" s="14"/>
      <c r="D10" s="12" t="s">
        <v>10</v>
      </c>
      <c r="E10" s="21">
        <v>1</v>
      </c>
      <c r="F10" s="24">
        <f t="shared" si="0"/>
        <v>118.62479999999998</v>
      </c>
      <c r="G10" s="5">
        <f>98.24*1.15</f>
        <v>112.97599999999998</v>
      </c>
    </row>
    <row r="11" spans="1:7" ht="30.75" customHeight="1">
      <c r="A11" s="3">
        <v>5</v>
      </c>
      <c r="B11" s="14" t="s">
        <v>11</v>
      </c>
      <c r="C11" s="14"/>
      <c r="D11" s="12" t="s">
        <v>12</v>
      </c>
      <c r="E11" s="21">
        <v>1</v>
      </c>
      <c r="F11" s="24">
        <f t="shared" si="0"/>
        <v>940.28025</v>
      </c>
      <c r="G11" s="5">
        <f>778.7*1.15</f>
        <v>895.505</v>
      </c>
    </row>
    <row r="12" spans="1:7" ht="15" customHeight="1">
      <c r="A12" s="3">
        <v>6</v>
      </c>
      <c r="B12" s="14" t="s">
        <v>13</v>
      </c>
      <c r="C12" s="14"/>
      <c r="D12" s="12" t="s">
        <v>8</v>
      </c>
      <c r="E12" s="21">
        <v>1</v>
      </c>
      <c r="F12" s="24">
        <f t="shared" si="0"/>
        <v>77.67847499999999</v>
      </c>
      <c r="G12" s="5">
        <f>64.33*1.15</f>
        <v>73.97949999999999</v>
      </c>
    </row>
    <row r="13" spans="1:7" ht="12">
      <c r="A13" s="3">
        <v>7</v>
      </c>
      <c r="B13" s="14" t="s">
        <v>14</v>
      </c>
      <c r="C13" s="14"/>
      <c r="D13" s="12" t="s">
        <v>8</v>
      </c>
      <c r="E13" s="21">
        <v>1</v>
      </c>
      <c r="F13" s="24">
        <f t="shared" si="0"/>
        <v>230.63249999999996</v>
      </c>
      <c r="G13" s="5">
        <f>191*1.15</f>
        <v>219.64999999999998</v>
      </c>
    </row>
    <row r="14" spans="1:7" ht="12">
      <c r="A14" s="3">
        <v>8</v>
      </c>
      <c r="B14" s="14" t="s">
        <v>15</v>
      </c>
      <c r="C14" s="14"/>
      <c r="D14" s="12" t="s">
        <v>8</v>
      </c>
      <c r="E14" s="21">
        <v>1</v>
      </c>
      <c r="F14" s="24">
        <f t="shared" si="0"/>
        <v>159.94545</v>
      </c>
      <c r="G14" s="5">
        <f>132.46*1.15</f>
        <v>152.329</v>
      </c>
    </row>
    <row r="15" spans="1:7" ht="15" customHeight="1">
      <c r="A15" s="3">
        <v>9</v>
      </c>
      <c r="B15" s="14" t="s">
        <v>16</v>
      </c>
      <c r="C15" s="14"/>
      <c r="D15" s="12" t="s">
        <v>17</v>
      </c>
      <c r="E15" s="21">
        <v>1</v>
      </c>
      <c r="F15" s="24">
        <f t="shared" si="0"/>
        <v>38.772825</v>
      </c>
      <c r="G15" s="5">
        <f>32.11*1.15</f>
        <v>36.9265</v>
      </c>
    </row>
    <row r="16" spans="1:7" ht="12">
      <c r="A16" s="3">
        <v>10</v>
      </c>
      <c r="B16" s="14" t="s">
        <v>18</v>
      </c>
      <c r="C16" s="14"/>
      <c r="D16" s="12" t="s">
        <v>19</v>
      </c>
      <c r="E16" s="21">
        <v>1</v>
      </c>
      <c r="F16" s="24">
        <f t="shared" si="0"/>
        <v>200.73479999999998</v>
      </c>
      <c r="G16" s="5">
        <f>166.24*1.15</f>
        <v>191.176</v>
      </c>
    </row>
    <row r="17" spans="1:7" ht="12">
      <c r="A17" s="3">
        <v>11</v>
      </c>
      <c r="B17" s="14" t="s">
        <v>20</v>
      </c>
      <c r="C17" s="14"/>
      <c r="D17" s="12" t="s">
        <v>8</v>
      </c>
      <c r="E17" s="21">
        <v>1</v>
      </c>
      <c r="F17" s="24">
        <f t="shared" si="0"/>
        <v>505.2904499999999</v>
      </c>
      <c r="G17" s="5">
        <f>418.46*1.15</f>
        <v>481.2289999999999</v>
      </c>
    </row>
    <row r="18" spans="1:7" ht="12">
      <c r="A18" s="3">
        <v>12</v>
      </c>
      <c r="B18" s="14" t="s">
        <v>21</v>
      </c>
      <c r="C18" s="14"/>
      <c r="D18" s="12" t="s">
        <v>22</v>
      </c>
      <c r="E18" s="21">
        <v>1</v>
      </c>
      <c r="F18" s="24">
        <f t="shared" si="0"/>
        <v>5759.07465</v>
      </c>
      <c r="G18" s="5">
        <f>4769.42*1.15</f>
        <v>5484.833</v>
      </c>
    </row>
    <row r="19" spans="1:7" ht="15" customHeight="1">
      <c r="A19" s="3">
        <v>13</v>
      </c>
      <c r="B19" s="14" t="s">
        <v>95</v>
      </c>
      <c r="C19" s="14"/>
      <c r="D19" s="12" t="s">
        <v>23</v>
      </c>
      <c r="E19" s="21">
        <v>1</v>
      </c>
      <c r="F19" s="24">
        <f t="shared" si="0"/>
        <v>86.50529999999999</v>
      </c>
      <c r="G19" s="5">
        <f>71.64*1.15</f>
        <v>82.386</v>
      </c>
    </row>
    <row r="20" spans="1:7" ht="15.75" customHeight="1">
      <c r="A20" s="3">
        <v>14</v>
      </c>
      <c r="B20" s="14" t="s">
        <v>89</v>
      </c>
      <c r="C20" s="14"/>
      <c r="D20" s="12" t="s">
        <v>24</v>
      </c>
      <c r="E20" s="21">
        <v>1</v>
      </c>
      <c r="F20" s="24">
        <f t="shared" si="0"/>
        <v>5731.3021499999995</v>
      </c>
      <c r="G20" s="5">
        <f>4746.42*1.15</f>
        <v>5458.383</v>
      </c>
    </row>
    <row r="21" spans="1:7" ht="24" customHeight="1">
      <c r="A21" s="3">
        <v>15</v>
      </c>
      <c r="B21" s="14" t="s">
        <v>25</v>
      </c>
      <c r="C21" s="14"/>
      <c r="D21" s="12" t="s">
        <v>26</v>
      </c>
      <c r="E21" s="21">
        <v>1</v>
      </c>
      <c r="F21" s="24">
        <f t="shared" si="0"/>
        <v>76.9902</v>
      </c>
      <c r="G21" s="5">
        <f>63.76*1.15</f>
        <v>73.324</v>
      </c>
    </row>
    <row r="22" spans="1:7" ht="12">
      <c r="A22" s="3">
        <v>16</v>
      </c>
      <c r="B22" s="14" t="s">
        <v>27</v>
      </c>
      <c r="C22" s="14"/>
      <c r="D22" s="12" t="s">
        <v>23</v>
      </c>
      <c r="E22" s="21">
        <v>1</v>
      </c>
      <c r="F22" s="24">
        <f t="shared" si="0"/>
        <v>45.36577499999999</v>
      </c>
      <c r="G22" s="5">
        <f>37.57*1.15</f>
        <v>43.205499999999994</v>
      </c>
    </row>
    <row r="23" spans="1:7" ht="12">
      <c r="A23" s="3">
        <v>17</v>
      </c>
      <c r="B23" s="14" t="s">
        <v>28</v>
      </c>
      <c r="C23" s="14"/>
      <c r="D23" s="12" t="s">
        <v>3</v>
      </c>
      <c r="E23" s="21">
        <v>1</v>
      </c>
      <c r="F23" s="24">
        <f t="shared" si="0"/>
        <v>71.47192499999998</v>
      </c>
      <c r="G23" s="5">
        <f>59.19*1.15</f>
        <v>68.06849999999999</v>
      </c>
    </row>
    <row r="24" spans="1:7" ht="12">
      <c r="A24" s="3">
        <v>18</v>
      </c>
      <c r="B24" s="14" t="s">
        <v>90</v>
      </c>
      <c r="C24" s="14"/>
      <c r="D24" s="12" t="s">
        <v>3</v>
      </c>
      <c r="E24" s="21">
        <v>1</v>
      </c>
      <c r="F24" s="24">
        <f t="shared" si="0"/>
        <v>125.37472499999998</v>
      </c>
      <c r="G24" s="5">
        <f>103.83*1.15</f>
        <v>119.40449999999998</v>
      </c>
    </row>
    <row r="25" spans="1:7" ht="38.25" customHeight="1">
      <c r="A25" s="3">
        <v>19</v>
      </c>
      <c r="B25" s="14" t="s">
        <v>29</v>
      </c>
      <c r="C25" s="14"/>
      <c r="D25" s="12" t="s">
        <v>30</v>
      </c>
      <c r="E25" s="21">
        <v>1</v>
      </c>
      <c r="F25" s="24">
        <f t="shared" si="0"/>
        <v>620.4134999999999</v>
      </c>
      <c r="G25" s="5">
        <f>513.8*1.15</f>
        <v>590.8699999999999</v>
      </c>
    </row>
    <row r="26" spans="1:7" ht="12.75" customHeight="1">
      <c r="A26" s="3">
        <v>20</v>
      </c>
      <c r="B26" s="14" t="s">
        <v>31</v>
      </c>
      <c r="C26" s="14"/>
      <c r="D26" s="12" t="s">
        <v>32</v>
      </c>
      <c r="E26" s="21">
        <v>1</v>
      </c>
      <c r="F26" s="24">
        <f t="shared" si="0"/>
        <v>634.5774749999999</v>
      </c>
      <c r="G26" s="5">
        <f>525.53*1.15</f>
        <v>604.3594999999999</v>
      </c>
    </row>
    <row r="27" spans="1:7" ht="12.75" customHeight="1">
      <c r="A27" s="3">
        <v>21</v>
      </c>
      <c r="B27" s="14" t="s">
        <v>33</v>
      </c>
      <c r="C27" s="14"/>
      <c r="D27" s="12" t="s">
        <v>34</v>
      </c>
      <c r="E27" s="21">
        <v>1</v>
      </c>
      <c r="F27" s="24">
        <f t="shared" si="0"/>
        <v>68.742975</v>
      </c>
      <c r="G27" s="5">
        <f>56.93*1.15</f>
        <v>65.4695</v>
      </c>
    </row>
    <row r="28" spans="1:7" ht="15" customHeight="1">
      <c r="A28" s="3">
        <v>22</v>
      </c>
      <c r="B28" s="14" t="s">
        <v>35</v>
      </c>
      <c r="C28" s="14"/>
      <c r="D28" s="12" t="s">
        <v>36</v>
      </c>
      <c r="E28" s="21">
        <v>1</v>
      </c>
      <c r="F28" s="24">
        <f t="shared" si="0"/>
        <v>703.187625</v>
      </c>
      <c r="G28" s="5">
        <f>582.35*1.15</f>
        <v>669.7025</v>
      </c>
    </row>
    <row r="29" spans="1:7" ht="15.75" customHeight="1">
      <c r="A29" s="3">
        <v>23</v>
      </c>
      <c r="B29" s="14" t="s">
        <v>37</v>
      </c>
      <c r="C29" s="14"/>
      <c r="D29" s="12" t="s">
        <v>8</v>
      </c>
      <c r="E29" s="21">
        <v>1</v>
      </c>
      <c r="F29" s="24">
        <f t="shared" si="0"/>
        <v>3586.54065</v>
      </c>
      <c r="G29" s="5">
        <f>2970.22*1.15</f>
        <v>3415.7529999999997</v>
      </c>
    </row>
    <row r="30" spans="1:7" ht="12">
      <c r="A30" s="3">
        <v>24</v>
      </c>
      <c r="B30" s="14" t="s">
        <v>38</v>
      </c>
      <c r="C30" s="14"/>
      <c r="D30" s="12" t="s">
        <v>39</v>
      </c>
      <c r="E30" s="21">
        <v>1</v>
      </c>
      <c r="F30" s="24">
        <f t="shared" si="0"/>
        <v>98.37502499999998</v>
      </c>
      <c r="G30" s="5">
        <f>81.47*1.15</f>
        <v>93.69049999999999</v>
      </c>
    </row>
    <row r="31" spans="1:7" ht="12.75" customHeight="1">
      <c r="A31" s="3">
        <v>25</v>
      </c>
      <c r="B31" s="14" t="s">
        <v>40</v>
      </c>
      <c r="C31" s="14"/>
      <c r="D31" s="12" t="s">
        <v>41</v>
      </c>
      <c r="E31" s="21">
        <v>1</v>
      </c>
      <c r="F31" s="24">
        <f t="shared" si="0"/>
        <v>24.741674999999997</v>
      </c>
      <c r="G31" s="5">
        <f>20.49*1.15</f>
        <v>23.563499999999998</v>
      </c>
    </row>
    <row r="32" spans="1:7" ht="12">
      <c r="A32" s="3">
        <v>26</v>
      </c>
      <c r="B32" s="14" t="s">
        <v>42</v>
      </c>
      <c r="C32" s="14"/>
      <c r="D32" s="12" t="s">
        <v>23</v>
      </c>
      <c r="E32" s="21">
        <v>1</v>
      </c>
      <c r="F32" s="24">
        <f t="shared" si="0"/>
        <v>835.0103999999999</v>
      </c>
      <c r="G32" s="5">
        <f>691.52*1.15</f>
        <v>795.2479999999999</v>
      </c>
    </row>
    <row r="33" spans="1:7" ht="24" customHeight="1">
      <c r="A33" s="3">
        <v>27</v>
      </c>
      <c r="B33" s="14" t="s">
        <v>43</v>
      </c>
      <c r="C33" s="14"/>
      <c r="D33" s="12" t="s">
        <v>44</v>
      </c>
      <c r="E33" s="21">
        <v>1</v>
      </c>
      <c r="F33" s="24">
        <f t="shared" si="0"/>
        <v>620.4134999999999</v>
      </c>
      <c r="G33" s="5">
        <f>513.8*1.15</f>
        <v>590.8699999999999</v>
      </c>
    </row>
    <row r="34" spans="1:7" ht="12">
      <c r="A34" s="3">
        <v>28</v>
      </c>
      <c r="B34" s="14" t="s">
        <v>45</v>
      </c>
      <c r="C34" s="14"/>
      <c r="D34" s="12" t="s">
        <v>46</v>
      </c>
      <c r="E34" s="21">
        <v>1</v>
      </c>
      <c r="F34" s="24">
        <f t="shared" si="0"/>
        <v>93.06202499999998</v>
      </c>
      <c r="G34" s="5">
        <f>77.07*1.15</f>
        <v>88.63049999999998</v>
      </c>
    </row>
    <row r="35" spans="1:7" ht="12">
      <c r="A35" s="3">
        <v>29</v>
      </c>
      <c r="B35" s="14" t="s">
        <v>47</v>
      </c>
      <c r="C35" s="14"/>
      <c r="D35" s="12" t="s">
        <v>23</v>
      </c>
      <c r="E35" s="21">
        <v>1</v>
      </c>
      <c r="F35" s="24">
        <f t="shared" si="0"/>
        <v>48.722624999999994</v>
      </c>
      <c r="G35" s="5">
        <f>40.35*1.15</f>
        <v>46.402499999999996</v>
      </c>
    </row>
    <row r="36" spans="1:7" ht="12">
      <c r="A36" s="3">
        <v>30</v>
      </c>
      <c r="B36" s="14" t="s">
        <v>48</v>
      </c>
      <c r="C36" s="14"/>
      <c r="D36" s="12" t="s">
        <v>23</v>
      </c>
      <c r="E36" s="21">
        <v>1</v>
      </c>
      <c r="F36" s="24">
        <f t="shared" si="0"/>
        <v>48.722624999999994</v>
      </c>
      <c r="G36" s="5">
        <f>40.35*1.15</f>
        <v>46.402499999999996</v>
      </c>
    </row>
    <row r="37" spans="1:7" ht="12">
      <c r="A37" s="3">
        <v>31</v>
      </c>
      <c r="B37" s="14" t="s">
        <v>49</v>
      </c>
      <c r="C37" s="14"/>
      <c r="D37" s="12" t="s">
        <v>23</v>
      </c>
      <c r="E37" s="21">
        <v>1</v>
      </c>
      <c r="F37" s="24">
        <f t="shared" si="0"/>
        <v>163.29022499999996</v>
      </c>
      <c r="G37" s="5">
        <f>135.23*1.15</f>
        <v>155.51449999999997</v>
      </c>
    </row>
    <row r="38" spans="1:7" ht="24.75" customHeight="1">
      <c r="A38" s="3">
        <v>32</v>
      </c>
      <c r="B38" s="14" t="s">
        <v>50</v>
      </c>
      <c r="C38" s="14"/>
      <c r="D38" s="12" t="s">
        <v>41</v>
      </c>
      <c r="E38" s="21">
        <v>1</v>
      </c>
      <c r="F38" s="24">
        <f t="shared" si="0"/>
        <v>466.81949999999995</v>
      </c>
      <c r="G38" s="5">
        <f>386.6*1.15</f>
        <v>444.59</v>
      </c>
    </row>
    <row r="39" spans="1:7" ht="12">
      <c r="A39" s="3">
        <v>33</v>
      </c>
      <c r="B39" s="14" t="s">
        <v>51</v>
      </c>
      <c r="C39" s="14"/>
      <c r="D39" s="12" t="s">
        <v>23</v>
      </c>
      <c r="E39" s="21">
        <v>1</v>
      </c>
      <c r="F39" s="24">
        <f t="shared" si="0"/>
        <v>327.12382499999995</v>
      </c>
      <c r="G39" s="5">
        <f>270.91*1.15</f>
        <v>311.5465</v>
      </c>
    </row>
    <row r="40" spans="1:7" ht="24" customHeight="1">
      <c r="A40" s="3">
        <v>34</v>
      </c>
      <c r="B40" s="14" t="s">
        <v>52</v>
      </c>
      <c r="C40" s="14"/>
      <c r="D40" s="12" t="s">
        <v>23</v>
      </c>
      <c r="E40" s="21">
        <v>1</v>
      </c>
      <c r="F40" s="24">
        <f t="shared" si="0"/>
        <v>163.555875</v>
      </c>
      <c r="G40" s="5">
        <f>135.45*1.15</f>
        <v>155.76749999999998</v>
      </c>
    </row>
    <row r="41" spans="1:7" ht="12">
      <c r="A41" s="3">
        <v>35</v>
      </c>
      <c r="B41" s="14" t="s">
        <v>53</v>
      </c>
      <c r="C41" s="14"/>
      <c r="D41" s="12" t="s">
        <v>8</v>
      </c>
      <c r="E41" s="21">
        <v>1</v>
      </c>
      <c r="F41" s="24">
        <f t="shared" si="0"/>
        <v>484.08674999999994</v>
      </c>
      <c r="G41" s="5">
        <f>400.9*1.15</f>
        <v>461.0349999999999</v>
      </c>
    </row>
    <row r="42" spans="1:7" ht="12">
      <c r="A42" s="3">
        <v>36</v>
      </c>
      <c r="B42" s="14" t="s">
        <v>54</v>
      </c>
      <c r="C42" s="14"/>
      <c r="D42" s="12" t="s">
        <v>55</v>
      </c>
      <c r="E42" s="21">
        <v>1</v>
      </c>
      <c r="F42" s="24">
        <f t="shared" si="0"/>
        <v>155.10337499999997</v>
      </c>
      <c r="G42" s="5">
        <f>128.45*1.15</f>
        <v>147.71749999999997</v>
      </c>
    </row>
    <row r="43" spans="1:7" ht="12">
      <c r="A43" s="3">
        <v>37</v>
      </c>
      <c r="B43" s="14" t="s">
        <v>56</v>
      </c>
      <c r="C43" s="14"/>
      <c r="D43" s="12" t="s">
        <v>8</v>
      </c>
      <c r="E43" s="21">
        <v>1</v>
      </c>
      <c r="F43" s="24">
        <f t="shared" si="0"/>
        <v>125.39887499999998</v>
      </c>
      <c r="G43" s="5">
        <f>103.85*1.15</f>
        <v>119.42749999999998</v>
      </c>
    </row>
    <row r="44" spans="1:7" ht="12">
      <c r="A44" s="3">
        <v>38</v>
      </c>
      <c r="B44" s="14" t="s">
        <v>57</v>
      </c>
      <c r="C44" s="14"/>
      <c r="D44" s="12" t="s">
        <v>58</v>
      </c>
      <c r="E44" s="21">
        <v>1</v>
      </c>
      <c r="F44" s="24">
        <f t="shared" si="0"/>
        <v>155.10337499999997</v>
      </c>
      <c r="G44" s="5">
        <f>128.45*1.15</f>
        <v>147.71749999999997</v>
      </c>
    </row>
    <row r="45" spans="1:7" ht="12">
      <c r="A45" s="3">
        <v>39</v>
      </c>
      <c r="B45" s="14" t="s">
        <v>59</v>
      </c>
      <c r="C45" s="14"/>
      <c r="D45" s="12" t="s">
        <v>8</v>
      </c>
      <c r="E45" s="21">
        <v>1</v>
      </c>
      <c r="F45" s="24">
        <f t="shared" si="0"/>
        <v>111.06585</v>
      </c>
      <c r="G45" s="5">
        <f>91.98*1.15</f>
        <v>105.777</v>
      </c>
    </row>
    <row r="46" spans="1:7" ht="12">
      <c r="A46" s="3">
        <v>40</v>
      </c>
      <c r="B46" s="14" t="s">
        <v>60</v>
      </c>
      <c r="C46" s="14"/>
      <c r="D46" s="12" t="s">
        <v>8</v>
      </c>
      <c r="E46" s="21">
        <v>1</v>
      </c>
      <c r="F46" s="24">
        <f t="shared" si="0"/>
        <v>529.0661249999999</v>
      </c>
      <c r="G46" s="5">
        <f>438.15*1.15</f>
        <v>503.87249999999995</v>
      </c>
    </row>
    <row r="47" spans="1:7" ht="12">
      <c r="A47" s="3">
        <v>41</v>
      </c>
      <c r="B47" s="14" t="s">
        <v>61</v>
      </c>
      <c r="C47" s="14"/>
      <c r="D47" s="12" t="s">
        <v>8</v>
      </c>
      <c r="E47" s="21">
        <v>1</v>
      </c>
      <c r="F47" s="24">
        <f t="shared" si="0"/>
        <v>528.655575</v>
      </c>
      <c r="G47" s="5">
        <f>437.81*1.15</f>
        <v>503.4815</v>
      </c>
    </row>
    <row r="48" spans="1:7" ht="12">
      <c r="A48" s="3">
        <v>42</v>
      </c>
      <c r="B48" s="14" t="s">
        <v>62</v>
      </c>
      <c r="C48" s="14"/>
      <c r="D48" s="12" t="s">
        <v>8</v>
      </c>
      <c r="E48" s="21">
        <v>1</v>
      </c>
      <c r="F48" s="24">
        <f t="shared" si="0"/>
        <v>1805.454</v>
      </c>
      <c r="G48" s="5">
        <f>1495.2*1.15</f>
        <v>1719.48</v>
      </c>
    </row>
    <row r="49" spans="1:7" ht="23.25" customHeight="1">
      <c r="A49" s="3">
        <v>43</v>
      </c>
      <c r="B49" s="14" t="s">
        <v>63</v>
      </c>
      <c r="C49" s="14"/>
      <c r="D49" s="12" t="s">
        <v>64</v>
      </c>
      <c r="E49" s="21">
        <v>1</v>
      </c>
      <c r="F49" s="24">
        <f t="shared" si="0"/>
        <v>200.73479999999998</v>
      </c>
      <c r="G49" s="5">
        <f>166.24*1.15</f>
        <v>191.176</v>
      </c>
    </row>
    <row r="50" spans="1:7" ht="12">
      <c r="A50" s="3">
        <v>44</v>
      </c>
      <c r="B50" s="14" t="s">
        <v>65</v>
      </c>
      <c r="C50" s="14"/>
      <c r="D50" s="12" t="s">
        <v>19</v>
      </c>
      <c r="E50" s="21">
        <v>1</v>
      </c>
      <c r="F50" s="24">
        <f t="shared" si="0"/>
        <v>200.73479999999998</v>
      </c>
      <c r="G50" s="5">
        <f>166.24*1.15</f>
        <v>191.176</v>
      </c>
    </row>
    <row r="51" spans="1:7" ht="12">
      <c r="A51" s="3">
        <v>45</v>
      </c>
      <c r="B51" s="14" t="s">
        <v>66</v>
      </c>
      <c r="C51" s="14"/>
      <c r="D51" s="12" t="s">
        <v>8</v>
      </c>
      <c r="E51" s="21">
        <v>1</v>
      </c>
      <c r="F51" s="24">
        <f t="shared" si="0"/>
        <v>6296.448374999999</v>
      </c>
      <c r="G51" s="5">
        <f>5214.45*1.15</f>
        <v>5996.617499999999</v>
      </c>
    </row>
    <row r="52" spans="1:7" ht="12">
      <c r="A52" s="3">
        <v>46</v>
      </c>
      <c r="B52" s="14" t="s">
        <v>67</v>
      </c>
      <c r="C52" s="14"/>
      <c r="D52" s="12" t="s">
        <v>8</v>
      </c>
      <c r="E52" s="21">
        <v>1</v>
      </c>
      <c r="F52" s="24">
        <f t="shared" si="0"/>
        <v>75.4446</v>
      </c>
      <c r="G52" s="5">
        <f>62.48*1.15</f>
        <v>71.85199999999999</v>
      </c>
    </row>
    <row r="53" spans="1:7" ht="12">
      <c r="A53" s="3">
        <v>47</v>
      </c>
      <c r="B53" s="14" t="s">
        <v>91</v>
      </c>
      <c r="C53" s="14"/>
      <c r="D53" s="12" t="s">
        <v>8</v>
      </c>
      <c r="E53" s="21">
        <v>1</v>
      </c>
      <c r="F53" s="24">
        <f t="shared" si="0"/>
        <v>686.5120499999999</v>
      </c>
      <c r="G53" s="5">
        <f>568.54*1.15</f>
        <v>653.8209999999999</v>
      </c>
    </row>
    <row r="54" spans="1:7" ht="12">
      <c r="A54" s="3">
        <v>48</v>
      </c>
      <c r="B54" s="14" t="s">
        <v>92</v>
      </c>
      <c r="C54" s="14"/>
      <c r="D54" s="12" t="s">
        <v>8</v>
      </c>
      <c r="E54" s="21">
        <v>1</v>
      </c>
      <c r="F54" s="24">
        <f t="shared" si="0"/>
        <v>6619.8168749999995</v>
      </c>
      <c r="G54" s="5">
        <f>5482.25*1.15</f>
        <v>6304.5875</v>
      </c>
    </row>
    <row r="55" spans="1:7" ht="12">
      <c r="A55" s="3">
        <v>49</v>
      </c>
      <c r="B55" s="14" t="s">
        <v>68</v>
      </c>
      <c r="C55" s="14"/>
      <c r="D55" s="12" t="s">
        <v>8</v>
      </c>
      <c r="E55" s="21">
        <v>1</v>
      </c>
      <c r="F55" s="24">
        <f t="shared" si="0"/>
        <v>1736.36085</v>
      </c>
      <c r="G55" s="5">
        <f>1437.98*1.15</f>
        <v>1653.677</v>
      </c>
    </row>
    <row r="56" spans="1:7" ht="12">
      <c r="A56" s="3">
        <v>50</v>
      </c>
      <c r="B56" s="14" t="s">
        <v>93</v>
      </c>
      <c r="C56" s="14"/>
      <c r="D56" s="12" t="s">
        <v>23</v>
      </c>
      <c r="E56" s="21">
        <v>1</v>
      </c>
      <c r="F56" s="24">
        <f t="shared" si="0"/>
        <v>449.02095</v>
      </c>
      <c r="G56" s="5">
        <f>371.86*1.15</f>
        <v>427.639</v>
      </c>
    </row>
    <row r="57" spans="1:7" ht="12">
      <c r="A57" s="3">
        <v>51</v>
      </c>
      <c r="B57" s="14" t="s">
        <v>69</v>
      </c>
      <c r="C57" s="14"/>
      <c r="D57" s="12" t="s">
        <v>70</v>
      </c>
      <c r="E57" s="21">
        <v>1</v>
      </c>
      <c r="F57" s="24">
        <f t="shared" si="0"/>
        <v>125.8698</v>
      </c>
      <c r="G57" s="5">
        <f>104.24*1.15</f>
        <v>119.87599999999999</v>
      </c>
    </row>
    <row r="58" spans="1:7" ht="12">
      <c r="A58" s="3">
        <v>52</v>
      </c>
      <c r="B58" s="14" t="s">
        <v>71</v>
      </c>
      <c r="C58" s="14"/>
      <c r="D58" s="12" t="s">
        <v>8</v>
      </c>
      <c r="E58" s="21">
        <v>1</v>
      </c>
      <c r="F58" s="24">
        <f t="shared" si="0"/>
        <v>181.281975</v>
      </c>
      <c r="G58" s="5">
        <f>150.13*1.15</f>
        <v>172.6495</v>
      </c>
    </row>
    <row r="59" spans="1:7" ht="12">
      <c r="A59" s="3">
        <v>53</v>
      </c>
      <c r="B59" s="14" t="s">
        <v>72</v>
      </c>
      <c r="C59" s="14"/>
      <c r="D59" s="12" t="s">
        <v>8</v>
      </c>
      <c r="E59" s="21">
        <v>1</v>
      </c>
      <c r="F59" s="24">
        <f t="shared" si="0"/>
        <v>45.401999999999994</v>
      </c>
      <c r="G59" s="5">
        <f>37.6*1.15</f>
        <v>43.239999999999995</v>
      </c>
    </row>
    <row r="60" spans="1:7" ht="24.75" customHeight="1">
      <c r="A60" s="3">
        <v>54</v>
      </c>
      <c r="B60" s="14" t="s">
        <v>73</v>
      </c>
      <c r="C60" s="14"/>
      <c r="D60" s="12" t="s">
        <v>12</v>
      </c>
      <c r="E60" s="21">
        <v>1</v>
      </c>
      <c r="F60" s="24">
        <f t="shared" si="0"/>
        <v>940.28025</v>
      </c>
      <c r="G60" s="5">
        <f>778.7*1.15</f>
        <v>895.505</v>
      </c>
    </row>
    <row r="61" spans="1:7" ht="12">
      <c r="A61" s="3">
        <v>55</v>
      </c>
      <c r="B61" s="14" t="s">
        <v>74</v>
      </c>
      <c r="C61" s="14"/>
      <c r="D61" s="12" t="s">
        <v>8</v>
      </c>
      <c r="E61" s="21">
        <v>1</v>
      </c>
      <c r="F61" s="24">
        <f t="shared" si="0"/>
        <v>36.9495</v>
      </c>
      <c r="G61" s="5">
        <f>30.6*1.15</f>
        <v>35.19</v>
      </c>
    </row>
    <row r="62" spans="1:7" ht="12">
      <c r="A62" s="3">
        <v>56</v>
      </c>
      <c r="B62" s="14" t="s">
        <v>75</v>
      </c>
      <c r="C62" s="14"/>
      <c r="D62" s="12" t="s">
        <v>8</v>
      </c>
      <c r="E62" s="21">
        <v>1</v>
      </c>
      <c r="F62" s="24">
        <f t="shared" si="0"/>
        <v>2058.03885</v>
      </c>
      <c r="G62" s="5">
        <f>1704.38*1.15</f>
        <v>1960.037</v>
      </c>
    </row>
    <row r="63" spans="1:7" ht="12">
      <c r="A63" s="3">
        <v>57</v>
      </c>
      <c r="B63" s="14" t="s">
        <v>76</v>
      </c>
      <c r="C63" s="14"/>
      <c r="D63" s="12" t="s">
        <v>77</v>
      </c>
      <c r="E63" s="21">
        <v>1</v>
      </c>
      <c r="F63" s="24">
        <f t="shared" si="0"/>
        <v>5065.885125</v>
      </c>
      <c r="G63" s="5">
        <f>4195.35*1.15</f>
        <v>4824.6525</v>
      </c>
    </row>
    <row r="64" spans="1:7" ht="12">
      <c r="A64" s="3">
        <v>58</v>
      </c>
      <c r="B64" s="14" t="s">
        <v>78</v>
      </c>
      <c r="C64" s="14"/>
      <c r="D64" s="12" t="s">
        <v>8</v>
      </c>
      <c r="E64" s="21">
        <v>1</v>
      </c>
      <c r="F64" s="24">
        <f t="shared" si="0"/>
        <v>621.2949749999999</v>
      </c>
      <c r="G64" s="5">
        <f>514.53*1.15</f>
        <v>591.7094999999999</v>
      </c>
    </row>
    <row r="65" spans="1:7" ht="12">
      <c r="A65" s="3">
        <v>59</v>
      </c>
      <c r="B65" s="14" t="s">
        <v>79</v>
      </c>
      <c r="C65" s="14"/>
      <c r="D65" s="12" t="s">
        <v>8</v>
      </c>
      <c r="E65" s="21">
        <v>1</v>
      </c>
      <c r="F65" s="24">
        <f t="shared" si="0"/>
        <v>2435.21355</v>
      </c>
      <c r="G65" s="5">
        <f>2016.74*1.15</f>
        <v>2319.2509999999997</v>
      </c>
    </row>
    <row r="66" spans="1:7" ht="12">
      <c r="A66" s="3">
        <v>60</v>
      </c>
      <c r="B66" s="14" t="s">
        <v>80</v>
      </c>
      <c r="C66" s="14"/>
      <c r="D66" s="12" t="s">
        <v>81</v>
      </c>
      <c r="E66" s="21">
        <v>1</v>
      </c>
      <c r="F66" s="24">
        <f t="shared" si="0"/>
        <v>206.4825</v>
      </c>
      <c r="G66" s="5">
        <f>171*1.15</f>
        <v>196.64999999999998</v>
      </c>
    </row>
    <row r="67" spans="1:7" ht="12">
      <c r="A67" s="3">
        <v>61</v>
      </c>
      <c r="B67" s="14" t="s">
        <v>82</v>
      </c>
      <c r="C67" s="14"/>
      <c r="D67" s="12" t="s">
        <v>83</v>
      </c>
      <c r="E67" s="21">
        <v>1</v>
      </c>
      <c r="F67" s="24">
        <f t="shared" si="0"/>
        <v>432.876675</v>
      </c>
      <c r="G67" s="5">
        <f>358.49*1.15</f>
        <v>412.26349999999996</v>
      </c>
    </row>
    <row r="68" spans="1:7" ht="12">
      <c r="A68" s="3">
        <v>62</v>
      </c>
      <c r="B68" s="14" t="s">
        <v>84</v>
      </c>
      <c r="C68" s="14"/>
      <c r="D68" s="12" t="s">
        <v>85</v>
      </c>
      <c r="E68" s="21">
        <v>1</v>
      </c>
      <c r="F68" s="24">
        <f t="shared" si="0"/>
        <v>3960.732825</v>
      </c>
      <c r="G68" s="5">
        <f>3280.11*1.15</f>
        <v>3772.1265</v>
      </c>
    </row>
    <row r="69" spans="1:7" ht="12">
      <c r="A69" s="3">
        <v>63</v>
      </c>
      <c r="B69" s="14" t="s">
        <v>86</v>
      </c>
      <c r="C69" s="14"/>
      <c r="D69" s="12" t="s">
        <v>23</v>
      </c>
      <c r="E69" s="21">
        <v>1</v>
      </c>
      <c r="F69" s="24">
        <f t="shared" si="0"/>
        <v>1089.1770749999998</v>
      </c>
      <c r="G69" s="5">
        <f>902.01*1.15</f>
        <v>1037.3114999999998</v>
      </c>
    </row>
    <row r="70" spans="1:7" ht="12">
      <c r="A70" s="3">
        <v>64</v>
      </c>
      <c r="B70" s="14" t="s">
        <v>94</v>
      </c>
      <c r="C70" s="14"/>
      <c r="D70" s="12" t="s">
        <v>8</v>
      </c>
      <c r="E70" s="21">
        <v>1</v>
      </c>
      <c r="F70" s="24">
        <f t="shared" si="0"/>
        <v>369.78479999999996</v>
      </c>
      <c r="G70" s="5">
        <f>306.24*1.15</f>
        <v>352.176</v>
      </c>
    </row>
    <row r="71" spans="1:7" ht="12.75" thickBot="1">
      <c r="A71" s="3">
        <v>65</v>
      </c>
      <c r="B71" s="14" t="s">
        <v>87</v>
      </c>
      <c r="C71" s="14"/>
      <c r="D71" s="12" t="s">
        <v>83</v>
      </c>
      <c r="E71" s="21">
        <v>1</v>
      </c>
      <c r="F71" s="24">
        <f t="shared" si="0"/>
        <v>229.06274999999997</v>
      </c>
      <c r="G71" s="6">
        <f>189.7*1.15</f>
        <v>218.15499999999997</v>
      </c>
    </row>
    <row r="72" spans="1:7" ht="12">
      <c r="A72" s="3">
        <v>66</v>
      </c>
      <c r="B72" s="19" t="s">
        <v>98</v>
      </c>
      <c r="C72" s="19"/>
      <c r="D72" s="2" t="s">
        <v>22</v>
      </c>
      <c r="E72" s="22">
        <v>1</v>
      </c>
      <c r="F72" s="24">
        <f aca="true" t="shared" si="1" ref="F72:F135">G72+(G72*5)/100</f>
        <v>4703.441925</v>
      </c>
      <c r="G72" s="7">
        <f>3895.19*1.15</f>
        <v>4479.4685</v>
      </c>
    </row>
    <row r="73" spans="1:7" ht="12">
      <c r="A73" s="3">
        <v>67</v>
      </c>
      <c r="B73" s="19" t="s">
        <v>99</v>
      </c>
      <c r="C73" s="19"/>
      <c r="D73" s="2" t="s">
        <v>22</v>
      </c>
      <c r="E73" s="22">
        <v>1</v>
      </c>
      <c r="F73" s="24">
        <f t="shared" si="1"/>
        <v>3196.8320999999996</v>
      </c>
      <c r="G73" s="7">
        <f>2647.48*1.15</f>
        <v>3044.602</v>
      </c>
    </row>
    <row r="74" spans="1:7" ht="12">
      <c r="A74" s="3">
        <v>68</v>
      </c>
      <c r="B74" s="19" t="s">
        <v>100</v>
      </c>
      <c r="C74" s="19"/>
      <c r="D74" s="2" t="s">
        <v>22</v>
      </c>
      <c r="E74" s="22">
        <v>1</v>
      </c>
      <c r="F74" s="24">
        <f t="shared" si="1"/>
        <v>2038.8396</v>
      </c>
      <c r="G74" s="7">
        <f>1688.48*1.15</f>
        <v>1941.752</v>
      </c>
    </row>
    <row r="75" spans="1:7" ht="12">
      <c r="A75" s="3">
        <v>69</v>
      </c>
      <c r="B75" s="19" t="s">
        <v>101</v>
      </c>
      <c r="C75" s="19"/>
      <c r="D75" s="2" t="s">
        <v>3</v>
      </c>
      <c r="E75" s="22">
        <v>1</v>
      </c>
      <c r="F75" s="24">
        <f t="shared" si="1"/>
        <v>0.966</v>
      </c>
      <c r="G75" s="7">
        <f>0.8*1.15</f>
        <v>0.9199999999999999</v>
      </c>
    </row>
    <row r="76" spans="1:7" ht="12">
      <c r="A76" s="3">
        <v>70</v>
      </c>
      <c r="B76" s="19" t="s">
        <v>102</v>
      </c>
      <c r="C76" s="19"/>
      <c r="D76" s="2" t="s">
        <v>8</v>
      </c>
      <c r="E76" s="22">
        <v>1</v>
      </c>
      <c r="F76" s="24">
        <f t="shared" si="1"/>
        <v>8.114399999999998</v>
      </c>
      <c r="G76" s="7">
        <f>6.72*1.15</f>
        <v>7.727999999999999</v>
      </c>
    </row>
    <row r="77" spans="1:7" ht="12">
      <c r="A77" s="3">
        <v>71</v>
      </c>
      <c r="B77" s="19" t="s">
        <v>103</v>
      </c>
      <c r="C77" s="19"/>
      <c r="D77" s="2" t="s">
        <v>8</v>
      </c>
      <c r="E77" s="22">
        <v>1</v>
      </c>
      <c r="F77" s="24">
        <f t="shared" si="1"/>
        <v>105.94604999999999</v>
      </c>
      <c r="G77" s="7">
        <f>87.74*1.15</f>
        <v>100.90099999999998</v>
      </c>
    </row>
    <row r="78" spans="1:7" ht="12">
      <c r="A78" s="3">
        <v>72</v>
      </c>
      <c r="B78" s="19" t="s">
        <v>104</v>
      </c>
      <c r="C78" s="19"/>
      <c r="D78" s="2" t="s">
        <v>105</v>
      </c>
      <c r="E78" s="22">
        <v>1</v>
      </c>
      <c r="F78" s="24">
        <f t="shared" si="1"/>
        <v>156.19012499999997</v>
      </c>
      <c r="G78" s="7">
        <f>129.35*1.15</f>
        <v>148.75249999999997</v>
      </c>
    </row>
    <row r="79" spans="1:7" ht="12">
      <c r="A79" s="3">
        <v>73</v>
      </c>
      <c r="B79" s="19" t="s">
        <v>106</v>
      </c>
      <c r="C79" s="19"/>
      <c r="D79" s="2" t="s">
        <v>23</v>
      </c>
      <c r="E79" s="22">
        <v>1</v>
      </c>
      <c r="F79" s="24">
        <f t="shared" si="1"/>
        <v>184.08337499999996</v>
      </c>
      <c r="G79" s="7">
        <f>152.45*1.15</f>
        <v>175.31749999999997</v>
      </c>
    </row>
    <row r="80" spans="1:7" ht="12">
      <c r="A80" s="3">
        <v>74</v>
      </c>
      <c r="B80" s="19" t="s">
        <v>107</v>
      </c>
      <c r="C80" s="19"/>
      <c r="D80" s="2" t="s">
        <v>108</v>
      </c>
      <c r="E80" s="22">
        <v>1</v>
      </c>
      <c r="F80" s="24">
        <f t="shared" si="1"/>
        <v>266.386575</v>
      </c>
      <c r="G80" s="7">
        <f>220.61*1.15</f>
        <v>253.7015</v>
      </c>
    </row>
    <row r="81" spans="1:7" ht="26.25" customHeight="1">
      <c r="A81" s="3">
        <v>75</v>
      </c>
      <c r="B81" s="19" t="s">
        <v>109</v>
      </c>
      <c r="C81" s="19"/>
      <c r="D81" s="2" t="s">
        <v>3</v>
      </c>
      <c r="E81" s="22">
        <v>1</v>
      </c>
      <c r="F81" s="24">
        <f t="shared" si="1"/>
        <v>22.29045</v>
      </c>
      <c r="G81" s="7">
        <f>18.46*1.15</f>
        <v>21.229</v>
      </c>
    </row>
    <row r="82" spans="1:7" ht="15" customHeight="1">
      <c r="A82" s="3">
        <v>76</v>
      </c>
      <c r="B82" s="19" t="s">
        <v>110</v>
      </c>
      <c r="C82" s="19"/>
      <c r="D82" s="2" t="s">
        <v>111</v>
      </c>
      <c r="E82" s="22">
        <v>1</v>
      </c>
      <c r="F82" s="24">
        <f t="shared" si="1"/>
        <v>8.247225</v>
      </c>
      <c r="G82" s="7">
        <f>6.83*1.15</f>
        <v>7.8545</v>
      </c>
    </row>
    <row r="83" spans="1:7" ht="12">
      <c r="A83" s="3">
        <v>77</v>
      </c>
      <c r="B83" s="19" t="s">
        <v>112</v>
      </c>
      <c r="C83" s="19"/>
      <c r="D83" s="2" t="s">
        <v>113</v>
      </c>
      <c r="E83" s="22">
        <v>1</v>
      </c>
      <c r="F83" s="24">
        <f t="shared" si="1"/>
        <v>194.90257499999996</v>
      </c>
      <c r="G83" s="7">
        <f>161.41*1.15</f>
        <v>185.62149999999997</v>
      </c>
    </row>
    <row r="84" spans="1:7" ht="12">
      <c r="A84" s="3">
        <v>78</v>
      </c>
      <c r="B84" s="19" t="s">
        <v>114</v>
      </c>
      <c r="C84" s="19"/>
      <c r="D84" s="2" t="s">
        <v>3</v>
      </c>
      <c r="E84" s="22">
        <v>1</v>
      </c>
      <c r="F84" s="24">
        <f t="shared" si="1"/>
        <v>20.986349999999998</v>
      </c>
      <c r="G84" s="7">
        <f>17.38*1.15</f>
        <v>19.987</v>
      </c>
    </row>
    <row r="85" spans="1:7" ht="12">
      <c r="A85" s="3">
        <v>79</v>
      </c>
      <c r="B85" s="19" t="s">
        <v>115</v>
      </c>
      <c r="C85" s="19"/>
      <c r="D85" s="2" t="s">
        <v>10</v>
      </c>
      <c r="E85" s="22">
        <v>1</v>
      </c>
      <c r="F85" s="24">
        <f t="shared" si="1"/>
        <v>332.91982499999995</v>
      </c>
      <c r="G85" s="7">
        <f>275.71*1.15</f>
        <v>317.06649999999996</v>
      </c>
    </row>
    <row r="86" spans="1:7" ht="14.25" customHeight="1">
      <c r="A86" s="3">
        <v>80</v>
      </c>
      <c r="B86" s="19" t="s">
        <v>116</v>
      </c>
      <c r="C86" s="19"/>
      <c r="D86" s="2" t="s">
        <v>22</v>
      </c>
      <c r="E86" s="22">
        <v>1</v>
      </c>
      <c r="F86" s="24">
        <f t="shared" si="1"/>
        <v>13173.341999999999</v>
      </c>
      <c r="G86" s="7">
        <f>10909.6*1.15</f>
        <v>12546.039999999999</v>
      </c>
    </row>
    <row r="87" spans="1:7" ht="24.75" customHeight="1">
      <c r="A87" s="3">
        <v>81</v>
      </c>
      <c r="B87" s="19" t="s">
        <v>117</v>
      </c>
      <c r="C87" s="19"/>
      <c r="D87" s="2" t="s">
        <v>23</v>
      </c>
      <c r="E87" s="22">
        <v>1</v>
      </c>
      <c r="F87" s="24">
        <f t="shared" si="1"/>
        <v>24.70545</v>
      </c>
      <c r="G87" s="7">
        <f>20.46*1.15</f>
        <v>23.529</v>
      </c>
    </row>
    <row r="88" spans="1:7" ht="12">
      <c r="A88" s="3">
        <v>82</v>
      </c>
      <c r="B88" s="19" t="s">
        <v>118</v>
      </c>
      <c r="C88" s="19"/>
      <c r="D88" s="2" t="s">
        <v>23</v>
      </c>
      <c r="E88" s="22">
        <v>1</v>
      </c>
      <c r="F88" s="24">
        <f t="shared" si="1"/>
        <v>93.44842499999999</v>
      </c>
      <c r="G88" s="7">
        <f>77.39*1.15</f>
        <v>88.99849999999999</v>
      </c>
    </row>
    <row r="89" spans="1:7" ht="12">
      <c r="A89" s="3">
        <v>83</v>
      </c>
      <c r="B89" s="19" t="s">
        <v>119</v>
      </c>
      <c r="C89" s="19"/>
      <c r="D89" s="2" t="s">
        <v>8</v>
      </c>
      <c r="E89" s="22">
        <v>1</v>
      </c>
      <c r="F89" s="24">
        <f t="shared" si="1"/>
        <v>135.8196</v>
      </c>
      <c r="G89" s="7">
        <f>112.48*1.15</f>
        <v>129.352</v>
      </c>
    </row>
    <row r="90" spans="1:7" ht="12">
      <c r="A90" s="3">
        <v>84</v>
      </c>
      <c r="B90" s="19" t="s">
        <v>120</v>
      </c>
      <c r="C90" s="19"/>
      <c r="D90" s="2" t="s">
        <v>24</v>
      </c>
      <c r="E90" s="22">
        <v>1</v>
      </c>
      <c r="F90" s="24">
        <f t="shared" si="1"/>
        <v>1004.1569999999999</v>
      </c>
      <c r="G90" s="7">
        <f>831.6*1.15</f>
        <v>956.3399999999999</v>
      </c>
    </row>
    <row r="91" spans="1:7" ht="12">
      <c r="A91" s="3">
        <v>85</v>
      </c>
      <c r="B91" s="19" t="s">
        <v>121</v>
      </c>
      <c r="C91" s="19"/>
      <c r="D91" s="2" t="s">
        <v>24</v>
      </c>
      <c r="E91" s="22">
        <v>1</v>
      </c>
      <c r="F91" s="24">
        <f t="shared" si="1"/>
        <v>864.1473749999999</v>
      </c>
      <c r="G91" s="7">
        <f>715.65*1.15</f>
        <v>822.9975</v>
      </c>
    </row>
    <row r="92" spans="1:7" ht="12">
      <c r="A92" s="3">
        <v>86</v>
      </c>
      <c r="B92" s="19" t="s">
        <v>122</v>
      </c>
      <c r="C92" s="19"/>
      <c r="D92" s="2" t="s">
        <v>22</v>
      </c>
      <c r="E92" s="22">
        <v>1</v>
      </c>
      <c r="F92" s="24">
        <f t="shared" si="1"/>
        <v>976.84335</v>
      </c>
      <c r="G92" s="7">
        <f>808.98*1.15</f>
        <v>930.327</v>
      </c>
    </row>
    <row r="93" spans="1:7" ht="24.75" customHeight="1">
      <c r="A93" s="3">
        <v>87</v>
      </c>
      <c r="B93" s="19" t="s">
        <v>123</v>
      </c>
      <c r="C93" s="19"/>
      <c r="D93" s="2" t="s">
        <v>3</v>
      </c>
      <c r="E93" s="22">
        <v>1</v>
      </c>
      <c r="F93" s="24">
        <f t="shared" si="1"/>
        <v>263.7663</v>
      </c>
      <c r="G93" s="7">
        <f>218.44*1.15</f>
        <v>251.206</v>
      </c>
    </row>
    <row r="94" spans="1:7" ht="24.75" customHeight="1">
      <c r="A94" s="3">
        <v>88</v>
      </c>
      <c r="B94" s="19" t="s">
        <v>124</v>
      </c>
      <c r="C94" s="19"/>
      <c r="D94" s="2" t="s">
        <v>3</v>
      </c>
      <c r="E94" s="22">
        <v>1</v>
      </c>
      <c r="F94" s="24">
        <f t="shared" si="1"/>
        <v>17.484599999999997</v>
      </c>
      <c r="G94" s="7">
        <f>14.48*1.15</f>
        <v>16.651999999999997</v>
      </c>
    </row>
    <row r="95" spans="1:7" ht="12">
      <c r="A95" s="3">
        <v>89</v>
      </c>
      <c r="B95" s="19" t="s">
        <v>125</v>
      </c>
      <c r="C95" s="19"/>
      <c r="D95" s="2" t="s">
        <v>8</v>
      </c>
      <c r="E95" s="22">
        <v>1</v>
      </c>
      <c r="F95" s="24">
        <f t="shared" si="1"/>
        <v>473.65394999999995</v>
      </c>
      <c r="G95" s="7">
        <f>392.26*1.15</f>
        <v>451.09899999999993</v>
      </c>
    </row>
    <row r="96" spans="1:7" ht="12">
      <c r="A96" s="3">
        <v>90</v>
      </c>
      <c r="B96" s="19" t="s">
        <v>126</v>
      </c>
      <c r="C96" s="19"/>
      <c r="D96" s="2" t="s">
        <v>8</v>
      </c>
      <c r="E96" s="22">
        <v>1</v>
      </c>
      <c r="F96" s="24">
        <f t="shared" si="1"/>
        <v>102.4443</v>
      </c>
      <c r="G96" s="7">
        <f>84.84*1.15</f>
        <v>97.566</v>
      </c>
    </row>
    <row r="97" spans="1:7" ht="12">
      <c r="A97" s="3">
        <v>91</v>
      </c>
      <c r="B97" s="19" t="s">
        <v>127</v>
      </c>
      <c r="C97" s="19"/>
      <c r="D97" s="2" t="s">
        <v>23</v>
      </c>
      <c r="E97" s="22">
        <v>1</v>
      </c>
      <c r="F97" s="24">
        <f t="shared" si="1"/>
        <v>119.16817499999998</v>
      </c>
      <c r="G97" s="7">
        <f>98.69*1.15</f>
        <v>113.49349999999998</v>
      </c>
    </row>
    <row r="98" spans="1:7" ht="12">
      <c r="A98" s="3">
        <v>92</v>
      </c>
      <c r="B98" s="19" t="s">
        <v>128</v>
      </c>
      <c r="C98" s="19"/>
      <c r="D98" s="2" t="s">
        <v>8</v>
      </c>
      <c r="E98" s="22">
        <v>1</v>
      </c>
      <c r="F98" s="24">
        <f t="shared" si="1"/>
        <v>444.4083</v>
      </c>
      <c r="G98" s="7">
        <f>368.04*1.15</f>
        <v>423.246</v>
      </c>
    </row>
    <row r="99" spans="1:7" ht="24.75" customHeight="1">
      <c r="A99" s="3">
        <v>93</v>
      </c>
      <c r="B99" s="19" t="s">
        <v>129</v>
      </c>
      <c r="C99" s="19"/>
      <c r="D99" s="2" t="s">
        <v>24</v>
      </c>
      <c r="E99" s="22">
        <v>1</v>
      </c>
      <c r="F99" s="24">
        <f t="shared" si="1"/>
        <v>404.98342499999995</v>
      </c>
      <c r="G99" s="7">
        <f>335.39*1.15</f>
        <v>385.69849999999997</v>
      </c>
    </row>
    <row r="100" spans="1:7" ht="12">
      <c r="A100" s="3">
        <v>94</v>
      </c>
      <c r="B100" s="19" t="s">
        <v>130</v>
      </c>
      <c r="C100" s="19"/>
      <c r="D100" s="2" t="s">
        <v>131</v>
      </c>
      <c r="E100" s="22">
        <v>1</v>
      </c>
      <c r="F100" s="24">
        <f t="shared" si="1"/>
        <v>624.2171249999999</v>
      </c>
      <c r="G100" s="7">
        <f>516.95*1.15</f>
        <v>594.4925</v>
      </c>
    </row>
    <row r="101" spans="1:7" ht="12">
      <c r="A101" s="3">
        <v>95</v>
      </c>
      <c r="B101" s="19" t="s">
        <v>132</v>
      </c>
      <c r="C101" s="19"/>
      <c r="D101" s="2" t="s">
        <v>3</v>
      </c>
      <c r="E101" s="22">
        <v>1</v>
      </c>
      <c r="F101" s="24">
        <f t="shared" si="1"/>
        <v>111.11415</v>
      </c>
      <c r="G101" s="7">
        <f>92.02*1.15</f>
        <v>105.823</v>
      </c>
    </row>
    <row r="102" spans="1:7" ht="12">
      <c r="A102" s="3">
        <v>96</v>
      </c>
      <c r="B102" s="19" t="s">
        <v>133</v>
      </c>
      <c r="C102" s="19"/>
      <c r="D102" s="2" t="s">
        <v>8</v>
      </c>
      <c r="E102" s="22">
        <v>1</v>
      </c>
      <c r="F102" s="24">
        <f t="shared" si="1"/>
        <v>126.1596</v>
      </c>
      <c r="G102" s="7">
        <f>104.48*1.15</f>
        <v>120.152</v>
      </c>
    </row>
    <row r="103" spans="1:7" ht="24.75" customHeight="1">
      <c r="A103" s="3">
        <v>97</v>
      </c>
      <c r="B103" s="19" t="s">
        <v>134</v>
      </c>
      <c r="C103" s="19"/>
      <c r="D103" s="2" t="s">
        <v>3</v>
      </c>
      <c r="E103" s="22">
        <v>1</v>
      </c>
      <c r="F103" s="24">
        <f t="shared" si="1"/>
        <v>97.54185</v>
      </c>
      <c r="G103" s="7">
        <f>80.78*1.15</f>
        <v>92.89699999999999</v>
      </c>
    </row>
    <row r="104" spans="1:7" ht="14.25" customHeight="1">
      <c r="A104" s="3">
        <v>98</v>
      </c>
      <c r="B104" s="19" t="s">
        <v>135</v>
      </c>
      <c r="C104" s="19"/>
      <c r="D104" s="2" t="s">
        <v>3</v>
      </c>
      <c r="E104" s="22">
        <v>1</v>
      </c>
      <c r="F104" s="24">
        <f t="shared" si="1"/>
        <v>38.060399999999994</v>
      </c>
      <c r="G104" s="7">
        <f>31.52*1.15</f>
        <v>36.248</v>
      </c>
    </row>
    <row r="105" spans="1:7" ht="24" customHeight="1">
      <c r="A105" s="3">
        <v>99</v>
      </c>
      <c r="B105" s="19" t="s">
        <v>136</v>
      </c>
      <c r="C105" s="19"/>
      <c r="D105" s="2" t="s">
        <v>3</v>
      </c>
      <c r="E105" s="22">
        <v>1</v>
      </c>
      <c r="F105" s="24">
        <f t="shared" si="1"/>
        <v>97.68674999999999</v>
      </c>
      <c r="G105" s="7">
        <f>80.9*1.15</f>
        <v>93.035</v>
      </c>
    </row>
    <row r="106" spans="1:7" ht="13.5" customHeight="1">
      <c r="A106" s="3">
        <v>100</v>
      </c>
      <c r="B106" s="19" t="s">
        <v>137</v>
      </c>
      <c r="C106" s="19"/>
      <c r="D106" s="2" t="s">
        <v>3</v>
      </c>
      <c r="E106" s="22">
        <v>1</v>
      </c>
      <c r="F106" s="24">
        <f t="shared" si="1"/>
        <v>155.055075</v>
      </c>
      <c r="G106" s="7">
        <f>128.41*1.15</f>
        <v>147.67149999999998</v>
      </c>
    </row>
    <row r="107" spans="1:7" ht="12">
      <c r="A107" s="3">
        <v>101</v>
      </c>
      <c r="B107" s="19" t="s">
        <v>138</v>
      </c>
      <c r="C107" s="19"/>
      <c r="D107" s="2" t="s">
        <v>139</v>
      </c>
      <c r="E107" s="22">
        <v>1</v>
      </c>
      <c r="F107" s="24">
        <f t="shared" si="1"/>
        <v>2.716875</v>
      </c>
      <c r="G107" s="7">
        <f>2.25*1.15</f>
        <v>2.5875</v>
      </c>
    </row>
    <row r="108" spans="1:7" ht="12">
      <c r="A108" s="3">
        <v>102</v>
      </c>
      <c r="B108" s="19" t="s">
        <v>140</v>
      </c>
      <c r="C108" s="19"/>
      <c r="D108" s="2" t="s">
        <v>3</v>
      </c>
      <c r="E108" s="22">
        <v>1</v>
      </c>
      <c r="F108" s="24">
        <f t="shared" si="1"/>
        <v>62.174175</v>
      </c>
      <c r="G108" s="7">
        <f>51.49*1.15</f>
        <v>59.213499999999996</v>
      </c>
    </row>
    <row r="109" spans="1:7" ht="12">
      <c r="A109" s="3">
        <v>103</v>
      </c>
      <c r="B109" s="19" t="s">
        <v>141</v>
      </c>
      <c r="C109" s="19"/>
      <c r="D109" s="2" t="s">
        <v>3</v>
      </c>
      <c r="E109" s="22">
        <v>1</v>
      </c>
      <c r="F109" s="24">
        <f t="shared" si="1"/>
        <v>36.0318</v>
      </c>
      <c r="G109" s="7">
        <f>29.84*1.15</f>
        <v>34.315999999999995</v>
      </c>
    </row>
    <row r="110" spans="1:7" ht="12">
      <c r="A110" s="3">
        <v>104</v>
      </c>
      <c r="B110" s="19" t="s">
        <v>142</v>
      </c>
      <c r="C110" s="19"/>
      <c r="D110" s="2" t="s">
        <v>3</v>
      </c>
      <c r="E110" s="22">
        <v>1</v>
      </c>
      <c r="F110" s="24">
        <f t="shared" si="1"/>
        <v>100.089675</v>
      </c>
      <c r="G110" s="7">
        <f>82.89*1.15</f>
        <v>95.3235</v>
      </c>
    </row>
    <row r="111" spans="1:7" ht="25.5" customHeight="1">
      <c r="A111" s="3">
        <v>105</v>
      </c>
      <c r="B111" s="19" t="s">
        <v>143</v>
      </c>
      <c r="C111" s="19"/>
      <c r="D111" s="2" t="s">
        <v>3</v>
      </c>
      <c r="E111" s="22">
        <v>1</v>
      </c>
      <c r="F111" s="24">
        <f t="shared" si="1"/>
        <v>15.588824999999998</v>
      </c>
      <c r="G111" s="7">
        <f>12.91*1.15</f>
        <v>14.846499999999999</v>
      </c>
    </row>
    <row r="112" spans="1:7" ht="12">
      <c r="A112" s="3">
        <v>106</v>
      </c>
      <c r="B112" s="19" t="s">
        <v>144</v>
      </c>
      <c r="C112" s="19"/>
      <c r="D112" s="2" t="s">
        <v>3</v>
      </c>
      <c r="E112" s="22">
        <v>1</v>
      </c>
      <c r="F112" s="24">
        <f t="shared" si="1"/>
        <v>23.546249999999997</v>
      </c>
      <c r="G112" s="7">
        <f>19.5*1.15</f>
        <v>22.424999999999997</v>
      </c>
    </row>
    <row r="113" spans="1:7" ht="24.75" customHeight="1">
      <c r="A113" s="3">
        <v>107</v>
      </c>
      <c r="B113" s="19" t="s">
        <v>145</v>
      </c>
      <c r="C113" s="19"/>
      <c r="D113" s="2" t="s">
        <v>3</v>
      </c>
      <c r="E113" s="22">
        <v>1</v>
      </c>
      <c r="F113" s="24">
        <f t="shared" si="1"/>
        <v>26.10615</v>
      </c>
      <c r="G113" s="7">
        <f>21.62*1.15</f>
        <v>24.863</v>
      </c>
    </row>
    <row r="114" spans="1:7" ht="12">
      <c r="A114" s="3">
        <v>108</v>
      </c>
      <c r="B114" s="19" t="s">
        <v>146</v>
      </c>
      <c r="C114" s="19"/>
      <c r="D114" s="2" t="s">
        <v>3</v>
      </c>
      <c r="E114" s="22">
        <v>1</v>
      </c>
      <c r="F114" s="24">
        <f t="shared" si="1"/>
        <v>36.225</v>
      </c>
      <c r="G114" s="7">
        <f>30*1.15</f>
        <v>34.5</v>
      </c>
    </row>
    <row r="115" spans="1:7" ht="12">
      <c r="A115" s="3">
        <v>109</v>
      </c>
      <c r="B115" s="19" t="s">
        <v>147</v>
      </c>
      <c r="C115" s="19"/>
      <c r="D115" s="2" t="s">
        <v>3</v>
      </c>
      <c r="E115" s="22">
        <v>1</v>
      </c>
      <c r="F115" s="24">
        <f t="shared" si="1"/>
        <v>47.925675</v>
      </c>
      <c r="G115" s="7">
        <f>39.69*1.15</f>
        <v>45.643499999999996</v>
      </c>
    </row>
    <row r="116" spans="1:7" ht="12">
      <c r="A116" s="3">
        <v>110</v>
      </c>
      <c r="B116" s="19" t="s">
        <v>148</v>
      </c>
      <c r="C116" s="19"/>
      <c r="D116" s="2" t="s">
        <v>3</v>
      </c>
      <c r="E116" s="22">
        <v>1</v>
      </c>
      <c r="F116" s="24">
        <f t="shared" si="1"/>
        <v>39.014325</v>
      </c>
      <c r="G116" s="7">
        <f>32.31*1.15</f>
        <v>37.1565</v>
      </c>
    </row>
    <row r="117" spans="1:7" ht="24" customHeight="1">
      <c r="A117" s="3">
        <v>111</v>
      </c>
      <c r="B117" s="19" t="s">
        <v>149</v>
      </c>
      <c r="C117" s="19"/>
      <c r="D117" s="2" t="s">
        <v>3</v>
      </c>
      <c r="E117" s="22">
        <v>1</v>
      </c>
      <c r="F117" s="24">
        <f t="shared" si="1"/>
        <v>81.8202</v>
      </c>
      <c r="G117" s="7">
        <f>67.76*1.15</f>
        <v>77.924</v>
      </c>
    </row>
    <row r="118" spans="1:7" ht="24.75" customHeight="1">
      <c r="A118" s="3">
        <v>112</v>
      </c>
      <c r="B118" s="19" t="s">
        <v>150</v>
      </c>
      <c r="C118" s="19"/>
      <c r="D118" s="2" t="s">
        <v>3</v>
      </c>
      <c r="E118" s="22">
        <v>1</v>
      </c>
      <c r="F118" s="24">
        <f t="shared" si="1"/>
        <v>80.9991</v>
      </c>
      <c r="G118" s="7">
        <f>67.08*1.15</f>
        <v>77.142</v>
      </c>
    </row>
    <row r="119" spans="1:7" ht="25.5" customHeight="1">
      <c r="A119" s="3">
        <v>113</v>
      </c>
      <c r="B119" s="19" t="s">
        <v>151</v>
      </c>
      <c r="C119" s="19"/>
      <c r="D119" s="2" t="s">
        <v>3</v>
      </c>
      <c r="E119" s="22">
        <v>1</v>
      </c>
      <c r="F119" s="24">
        <f t="shared" si="1"/>
        <v>56.535149999999994</v>
      </c>
      <c r="G119" s="7">
        <f>46.82*1.15</f>
        <v>53.842999999999996</v>
      </c>
    </row>
    <row r="120" spans="1:7" ht="13.5" customHeight="1">
      <c r="A120" s="3">
        <v>114</v>
      </c>
      <c r="B120" s="19" t="s">
        <v>152</v>
      </c>
      <c r="C120" s="19"/>
      <c r="D120" s="2" t="s">
        <v>3</v>
      </c>
      <c r="E120" s="22">
        <v>1</v>
      </c>
      <c r="F120" s="24">
        <f t="shared" si="1"/>
        <v>129.625125</v>
      </c>
      <c r="G120" s="7">
        <f>107.35*1.15</f>
        <v>123.45249999999999</v>
      </c>
    </row>
    <row r="121" spans="1:7" ht="24.75" customHeight="1">
      <c r="A121" s="3">
        <v>115</v>
      </c>
      <c r="B121" s="19" t="s">
        <v>153</v>
      </c>
      <c r="C121" s="19"/>
      <c r="D121" s="2" t="s">
        <v>3</v>
      </c>
      <c r="E121" s="22">
        <v>1</v>
      </c>
      <c r="F121" s="24">
        <f t="shared" si="1"/>
        <v>45.83669999999999</v>
      </c>
      <c r="G121" s="7">
        <f>37.96*1.15</f>
        <v>43.653999999999996</v>
      </c>
    </row>
    <row r="122" spans="1:7" ht="24" customHeight="1">
      <c r="A122" s="3">
        <v>116</v>
      </c>
      <c r="B122" s="19" t="s">
        <v>154</v>
      </c>
      <c r="C122" s="19"/>
      <c r="D122" s="2" t="s">
        <v>3</v>
      </c>
      <c r="E122" s="22">
        <v>1</v>
      </c>
      <c r="F122" s="24">
        <f t="shared" si="1"/>
        <v>136.290525</v>
      </c>
      <c r="G122" s="7">
        <f>112.87*1.15</f>
        <v>129.8005</v>
      </c>
    </row>
    <row r="123" spans="1:7" ht="23.25" customHeight="1">
      <c r="A123" s="3">
        <v>117</v>
      </c>
      <c r="B123" s="19" t="s">
        <v>155</v>
      </c>
      <c r="C123" s="19"/>
      <c r="D123" s="2" t="s">
        <v>3</v>
      </c>
      <c r="E123" s="22">
        <v>1</v>
      </c>
      <c r="F123" s="24">
        <f t="shared" si="1"/>
        <v>86.72264999999999</v>
      </c>
      <c r="G123" s="7">
        <f>71.82*1.15</f>
        <v>82.59299999999999</v>
      </c>
    </row>
    <row r="124" spans="1:7" ht="12">
      <c r="A124" s="3">
        <v>118</v>
      </c>
      <c r="B124" s="19" t="s">
        <v>156</v>
      </c>
      <c r="C124" s="19"/>
      <c r="D124" s="2" t="s">
        <v>3</v>
      </c>
      <c r="E124" s="22">
        <v>1</v>
      </c>
      <c r="F124" s="24">
        <f t="shared" si="1"/>
        <v>62.922824999999996</v>
      </c>
      <c r="G124" s="7">
        <f>52.11*1.15</f>
        <v>59.9265</v>
      </c>
    </row>
    <row r="125" spans="1:7" ht="12">
      <c r="A125" s="3">
        <v>119</v>
      </c>
      <c r="B125" s="19" t="s">
        <v>157</v>
      </c>
      <c r="C125" s="19"/>
      <c r="D125" s="2" t="s">
        <v>3</v>
      </c>
      <c r="E125" s="22">
        <v>1</v>
      </c>
      <c r="F125" s="24">
        <f t="shared" si="1"/>
        <v>112.99784999999999</v>
      </c>
      <c r="G125" s="7">
        <f>93.58*1.15</f>
        <v>107.61699999999999</v>
      </c>
    </row>
    <row r="126" spans="1:7" ht="12">
      <c r="A126" s="3">
        <v>120</v>
      </c>
      <c r="B126" s="19" t="s">
        <v>158</v>
      </c>
      <c r="C126" s="19"/>
      <c r="D126" s="2" t="s">
        <v>3</v>
      </c>
      <c r="E126" s="22">
        <v>1</v>
      </c>
      <c r="F126" s="24">
        <f t="shared" si="1"/>
        <v>146.84407499999998</v>
      </c>
      <c r="G126" s="7">
        <f>121.61*1.15</f>
        <v>139.8515</v>
      </c>
    </row>
    <row r="127" spans="1:7" ht="12">
      <c r="A127" s="3">
        <v>121</v>
      </c>
      <c r="B127" s="19" t="s">
        <v>159</v>
      </c>
      <c r="C127" s="19"/>
      <c r="D127" s="2" t="s">
        <v>3</v>
      </c>
      <c r="E127" s="22">
        <v>1</v>
      </c>
      <c r="F127" s="24">
        <f t="shared" si="1"/>
        <v>45.83669999999999</v>
      </c>
      <c r="G127" s="7">
        <f>37.96*1.15</f>
        <v>43.653999999999996</v>
      </c>
    </row>
    <row r="128" spans="1:7" ht="12">
      <c r="A128" s="3">
        <v>122</v>
      </c>
      <c r="B128" s="19" t="s">
        <v>160</v>
      </c>
      <c r="C128" s="19"/>
      <c r="D128" s="2" t="s">
        <v>3</v>
      </c>
      <c r="E128" s="22">
        <v>1</v>
      </c>
      <c r="F128" s="24">
        <f t="shared" si="1"/>
        <v>99.09952499999999</v>
      </c>
      <c r="G128" s="7">
        <f>82.07*1.15</f>
        <v>94.38049999999998</v>
      </c>
    </row>
    <row r="129" spans="1:7" ht="24.75" customHeight="1">
      <c r="A129" s="3">
        <v>123</v>
      </c>
      <c r="B129" s="19" t="s">
        <v>161</v>
      </c>
      <c r="C129" s="19"/>
      <c r="D129" s="2" t="s">
        <v>3</v>
      </c>
      <c r="E129" s="22">
        <v>1</v>
      </c>
      <c r="F129" s="24">
        <f t="shared" si="1"/>
        <v>86.348325</v>
      </c>
      <c r="G129" s="7">
        <f>71.51*1.15</f>
        <v>82.2365</v>
      </c>
    </row>
    <row r="130" spans="1:7" ht="25.5" customHeight="1">
      <c r="A130" s="3">
        <v>124</v>
      </c>
      <c r="B130" s="19" t="s">
        <v>162</v>
      </c>
      <c r="C130" s="19"/>
      <c r="D130" s="2" t="s">
        <v>3</v>
      </c>
      <c r="E130" s="22">
        <v>1</v>
      </c>
      <c r="F130" s="24">
        <f t="shared" si="1"/>
        <v>100.58474999999999</v>
      </c>
      <c r="G130" s="7">
        <f>83.3*1.15</f>
        <v>95.79499999999999</v>
      </c>
    </row>
    <row r="131" spans="1:7" ht="12">
      <c r="A131" s="3">
        <v>125</v>
      </c>
      <c r="B131" s="19" t="s">
        <v>163</v>
      </c>
      <c r="C131" s="19"/>
      <c r="D131" s="2" t="s">
        <v>3</v>
      </c>
      <c r="E131" s="22">
        <v>1</v>
      </c>
      <c r="F131" s="24">
        <f t="shared" si="1"/>
        <v>99.09952499999999</v>
      </c>
      <c r="G131" s="7">
        <f>82.07*1.15</f>
        <v>94.38049999999998</v>
      </c>
    </row>
    <row r="132" spans="1:7" ht="12">
      <c r="A132" s="3">
        <v>126</v>
      </c>
      <c r="B132" s="19" t="s">
        <v>164</v>
      </c>
      <c r="C132" s="19"/>
      <c r="D132" s="2" t="s">
        <v>3</v>
      </c>
      <c r="E132" s="22">
        <v>1</v>
      </c>
      <c r="F132" s="24">
        <f t="shared" si="1"/>
        <v>147.206325</v>
      </c>
      <c r="G132" s="7">
        <f>121.91*1.15</f>
        <v>140.1965</v>
      </c>
    </row>
    <row r="133" spans="1:7" ht="12">
      <c r="A133" s="3">
        <v>127</v>
      </c>
      <c r="B133" s="19" t="s">
        <v>165</v>
      </c>
      <c r="C133" s="19"/>
      <c r="D133" s="2" t="s">
        <v>3</v>
      </c>
      <c r="E133" s="22">
        <v>1</v>
      </c>
      <c r="F133" s="24">
        <f t="shared" si="1"/>
        <v>109.5444</v>
      </c>
      <c r="G133" s="7">
        <f>90.72*1.15</f>
        <v>104.32799999999999</v>
      </c>
    </row>
    <row r="134" spans="1:7" ht="12">
      <c r="A134" s="3">
        <v>128</v>
      </c>
      <c r="B134" s="19" t="s">
        <v>166</v>
      </c>
      <c r="C134" s="19"/>
      <c r="D134" s="2" t="s">
        <v>3</v>
      </c>
      <c r="E134" s="22">
        <v>1</v>
      </c>
      <c r="F134" s="24">
        <f t="shared" si="1"/>
        <v>109.5444</v>
      </c>
      <c r="G134" s="7">
        <f>90.72*1.15</f>
        <v>104.32799999999999</v>
      </c>
    </row>
    <row r="135" spans="1:7" ht="12">
      <c r="A135" s="3">
        <v>129</v>
      </c>
      <c r="B135" s="19" t="s">
        <v>167</v>
      </c>
      <c r="C135" s="19"/>
      <c r="D135" s="2" t="s">
        <v>3</v>
      </c>
      <c r="E135" s="22">
        <v>1</v>
      </c>
      <c r="F135" s="24">
        <f t="shared" si="1"/>
        <v>47.925675</v>
      </c>
      <c r="G135" s="7">
        <f>39.69*1.15</f>
        <v>45.643499999999996</v>
      </c>
    </row>
    <row r="136" spans="1:7" ht="15" customHeight="1">
      <c r="A136" s="3">
        <v>130</v>
      </c>
      <c r="B136" s="19" t="s">
        <v>168</v>
      </c>
      <c r="C136" s="19"/>
      <c r="D136" s="2" t="s">
        <v>3</v>
      </c>
      <c r="E136" s="22">
        <v>1</v>
      </c>
      <c r="F136" s="24">
        <f aca="true" t="shared" si="2" ref="F136:F199">G136+(G136*5)/100</f>
        <v>62.017199999999995</v>
      </c>
      <c r="G136" s="7">
        <f>51.36*1.15</f>
        <v>59.06399999999999</v>
      </c>
    </row>
    <row r="137" spans="1:7" ht="12">
      <c r="A137" s="3">
        <v>131</v>
      </c>
      <c r="B137" s="19" t="s">
        <v>169</v>
      </c>
      <c r="C137" s="19"/>
      <c r="D137" s="2" t="s">
        <v>3</v>
      </c>
      <c r="E137" s="22">
        <v>1</v>
      </c>
      <c r="F137" s="24">
        <f t="shared" si="2"/>
        <v>29.716575</v>
      </c>
      <c r="G137" s="7">
        <f>24.61*1.15</f>
        <v>28.301499999999997</v>
      </c>
    </row>
    <row r="138" spans="1:7" ht="12">
      <c r="A138" s="3">
        <v>132</v>
      </c>
      <c r="B138" s="19" t="s">
        <v>170</v>
      </c>
      <c r="C138" s="19"/>
      <c r="D138" s="2" t="s">
        <v>23</v>
      </c>
      <c r="E138" s="22">
        <v>1</v>
      </c>
      <c r="F138" s="24">
        <f t="shared" si="2"/>
        <v>22.278374999999997</v>
      </c>
      <c r="G138" s="7">
        <f>18.45*1.15</f>
        <v>21.217499999999998</v>
      </c>
    </row>
    <row r="139" spans="1:7" ht="12">
      <c r="A139" s="3">
        <v>133</v>
      </c>
      <c r="B139" s="19" t="s">
        <v>171</v>
      </c>
      <c r="C139" s="19"/>
      <c r="D139" s="2" t="s">
        <v>8</v>
      </c>
      <c r="E139" s="22">
        <v>1</v>
      </c>
      <c r="F139" s="24">
        <f t="shared" si="2"/>
        <v>6.435974999999999</v>
      </c>
      <c r="G139" s="7">
        <f>5.33*1.15</f>
        <v>6.129499999999999</v>
      </c>
    </row>
    <row r="140" spans="1:7" ht="25.5" customHeight="1">
      <c r="A140" s="3">
        <v>134</v>
      </c>
      <c r="B140" s="19" t="s">
        <v>172</v>
      </c>
      <c r="C140" s="19"/>
      <c r="D140" s="2" t="s">
        <v>173</v>
      </c>
      <c r="E140" s="22">
        <v>1</v>
      </c>
      <c r="F140" s="24">
        <f t="shared" si="2"/>
        <v>155.10337499999997</v>
      </c>
      <c r="G140" s="7">
        <f>128.45*1.15</f>
        <v>147.71749999999997</v>
      </c>
    </row>
    <row r="141" spans="1:7" ht="25.5" customHeight="1">
      <c r="A141" s="3">
        <v>135</v>
      </c>
      <c r="B141" s="19" t="s">
        <v>174</v>
      </c>
      <c r="C141" s="19"/>
      <c r="D141" s="2" t="s">
        <v>3</v>
      </c>
      <c r="E141" s="22">
        <v>1</v>
      </c>
      <c r="F141" s="24">
        <f t="shared" si="2"/>
        <v>0.132825</v>
      </c>
      <c r="G141" s="7">
        <f>0.11*1.15</f>
        <v>0.1265</v>
      </c>
    </row>
    <row r="142" spans="1:7" ht="24" customHeight="1">
      <c r="A142" s="3">
        <v>136</v>
      </c>
      <c r="B142" s="19" t="s">
        <v>175</v>
      </c>
      <c r="C142" s="19"/>
      <c r="D142" s="2" t="s">
        <v>3</v>
      </c>
      <c r="E142" s="22">
        <v>1</v>
      </c>
      <c r="F142" s="24">
        <f t="shared" si="2"/>
        <v>0.132825</v>
      </c>
      <c r="G142" s="7">
        <f>0.11*1.15</f>
        <v>0.1265</v>
      </c>
    </row>
    <row r="143" spans="1:7" ht="12">
      <c r="A143" s="3">
        <v>137</v>
      </c>
      <c r="B143" s="19" t="s">
        <v>176</v>
      </c>
      <c r="C143" s="19"/>
      <c r="D143" s="2" t="s">
        <v>177</v>
      </c>
      <c r="E143" s="22">
        <v>1</v>
      </c>
      <c r="F143" s="24">
        <f t="shared" si="2"/>
        <v>699.0217499999999</v>
      </c>
      <c r="G143" s="7">
        <f>578.9*1.15</f>
        <v>665.7349999999999</v>
      </c>
    </row>
    <row r="144" spans="1:7" ht="12">
      <c r="A144" s="3">
        <v>138</v>
      </c>
      <c r="B144" s="19" t="s">
        <v>178</v>
      </c>
      <c r="C144" s="19"/>
      <c r="D144" s="2" t="s">
        <v>3</v>
      </c>
      <c r="E144" s="22">
        <v>1</v>
      </c>
      <c r="F144" s="24">
        <f t="shared" si="2"/>
        <v>507.1499999999999</v>
      </c>
      <c r="G144" s="7">
        <f>420*1.15</f>
        <v>482.99999999999994</v>
      </c>
    </row>
    <row r="145" spans="1:7" ht="24.75" customHeight="1">
      <c r="A145" s="3">
        <v>139</v>
      </c>
      <c r="B145" s="19" t="s">
        <v>179</v>
      </c>
      <c r="C145" s="19"/>
      <c r="D145" s="2" t="s">
        <v>3</v>
      </c>
      <c r="E145" s="22">
        <v>1</v>
      </c>
      <c r="F145" s="24">
        <f t="shared" si="2"/>
        <v>11.13315</v>
      </c>
      <c r="G145" s="7">
        <f>9.22*1.15</f>
        <v>10.603</v>
      </c>
    </row>
    <row r="146" spans="1:7" ht="12">
      <c r="A146" s="3">
        <v>140</v>
      </c>
      <c r="B146" s="19" t="s">
        <v>180</v>
      </c>
      <c r="C146" s="19"/>
      <c r="D146" s="2" t="s">
        <v>23</v>
      </c>
      <c r="E146" s="22">
        <v>1</v>
      </c>
      <c r="F146" s="24">
        <f t="shared" si="2"/>
        <v>19.53735</v>
      </c>
      <c r="G146" s="7">
        <f>16.18*1.15</f>
        <v>18.607</v>
      </c>
    </row>
    <row r="147" spans="1:7" ht="12">
      <c r="A147" s="3">
        <v>141</v>
      </c>
      <c r="B147" s="19" t="s">
        <v>181</v>
      </c>
      <c r="C147" s="19"/>
      <c r="D147" s="2" t="s">
        <v>3</v>
      </c>
      <c r="E147" s="22">
        <v>1</v>
      </c>
      <c r="F147" s="24">
        <f t="shared" si="2"/>
        <v>1.3886249999999998</v>
      </c>
      <c r="G147" s="7">
        <f>1.15*1.15</f>
        <v>1.3224999999999998</v>
      </c>
    </row>
    <row r="148" spans="1:7" ht="12">
      <c r="A148" s="3">
        <v>142</v>
      </c>
      <c r="B148" s="19" t="s">
        <v>182</v>
      </c>
      <c r="C148" s="19"/>
      <c r="D148" s="2" t="s">
        <v>3</v>
      </c>
      <c r="E148" s="22">
        <v>1</v>
      </c>
      <c r="F148" s="24">
        <f t="shared" si="2"/>
        <v>1.3886249999999998</v>
      </c>
      <c r="G148" s="7">
        <f>1.15*1.15</f>
        <v>1.3224999999999998</v>
      </c>
    </row>
    <row r="149" spans="1:7" ht="12">
      <c r="A149" s="3">
        <v>143</v>
      </c>
      <c r="B149" s="19" t="s">
        <v>183</v>
      </c>
      <c r="C149" s="19"/>
      <c r="D149" s="2" t="s">
        <v>3</v>
      </c>
      <c r="E149" s="22">
        <v>1</v>
      </c>
      <c r="F149" s="24">
        <f t="shared" si="2"/>
        <v>11.13315</v>
      </c>
      <c r="G149" s="7">
        <f>9.22*1.15</f>
        <v>10.603</v>
      </c>
    </row>
    <row r="150" spans="1:7" ht="12">
      <c r="A150" s="3">
        <v>144</v>
      </c>
      <c r="B150" s="19" t="s">
        <v>184</v>
      </c>
      <c r="C150" s="19"/>
      <c r="D150" s="2" t="s">
        <v>3</v>
      </c>
      <c r="E150" s="22">
        <v>1</v>
      </c>
      <c r="F150" s="24">
        <f t="shared" si="2"/>
        <v>1.3886249999999998</v>
      </c>
      <c r="G150" s="7">
        <f>1.15*1.15</f>
        <v>1.3224999999999998</v>
      </c>
    </row>
    <row r="151" spans="1:7" ht="12">
      <c r="A151" s="3">
        <v>145</v>
      </c>
      <c r="B151" s="19" t="s">
        <v>185</v>
      </c>
      <c r="C151" s="19"/>
      <c r="D151" s="2" t="s">
        <v>3</v>
      </c>
      <c r="E151" s="22">
        <v>1</v>
      </c>
      <c r="F151" s="24">
        <f t="shared" si="2"/>
        <v>1.3886249999999998</v>
      </c>
      <c r="G151" s="7">
        <f>1.15*1.15</f>
        <v>1.3224999999999998</v>
      </c>
    </row>
    <row r="152" spans="1:7" ht="24.75" customHeight="1">
      <c r="A152" s="3">
        <v>146</v>
      </c>
      <c r="B152" s="19" t="s">
        <v>354</v>
      </c>
      <c r="C152" s="19"/>
      <c r="D152" s="2" t="s">
        <v>23</v>
      </c>
      <c r="E152" s="22">
        <v>1</v>
      </c>
      <c r="F152" s="24">
        <f t="shared" si="2"/>
        <v>174.56827499999997</v>
      </c>
      <c r="G152" s="7">
        <f>144.57*1.15</f>
        <v>166.25549999999998</v>
      </c>
    </row>
    <row r="153" spans="1:7" ht="12">
      <c r="A153" s="3">
        <v>147</v>
      </c>
      <c r="B153" s="19" t="s">
        <v>186</v>
      </c>
      <c r="C153" s="19"/>
      <c r="D153" s="2" t="s">
        <v>187</v>
      </c>
      <c r="E153" s="22">
        <v>1</v>
      </c>
      <c r="F153" s="24">
        <f t="shared" si="2"/>
        <v>267.99254999999994</v>
      </c>
      <c r="G153" s="7">
        <f>221.94*1.15</f>
        <v>255.23099999999997</v>
      </c>
    </row>
    <row r="154" spans="1:7" ht="12">
      <c r="A154" s="3">
        <v>148</v>
      </c>
      <c r="B154" s="19" t="s">
        <v>188</v>
      </c>
      <c r="C154" s="19"/>
      <c r="D154" s="2" t="s">
        <v>8</v>
      </c>
      <c r="E154" s="22">
        <v>1</v>
      </c>
      <c r="F154" s="24">
        <f t="shared" si="2"/>
        <v>8.114399999999998</v>
      </c>
      <c r="G154" s="7">
        <f>6.72*1.15</f>
        <v>7.727999999999999</v>
      </c>
    </row>
    <row r="155" spans="1:7" ht="12">
      <c r="A155" s="3">
        <v>149</v>
      </c>
      <c r="B155" s="19" t="s">
        <v>189</v>
      </c>
      <c r="C155" s="19"/>
      <c r="D155" s="2" t="s">
        <v>3</v>
      </c>
      <c r="E155" s="22">
        <v>1</v>
      </c>
      <c r="F155" s="24">
        <f t="shared" si="2"/>
        <v>48.432824999999994</v>
      </c>
      <c r="G155" s="7">
        <f>40.11*1.15</f>
        <v>46.12649999999999</v>
      </c>
    </row>
    <row r="156" spans="1:7" ht="24" customHeight="1">
      <c r="A156" s="3">
        <v>150</v>
      </c>
      <c r="B156" s="19" t="s">
        <v>190</v>
      </c>
      <c r="C156" s="19"/>
      <c r="D156" s="2" t="s">
        <v>8</v>
      </c>
      <c r="E156" s="22">
        <v>1</v>
      </c>
      <c r="F156" s="24">
        <f t="shared" si="2"/>
        <v>174.7011</v>
      </c>
      <c r="G156" s="7">
        <f>144.68*1.15</f>
        <v>166.382</v>
      </c>
    </row>
    <row r="157" spans="1:7" ht="12">
      <c r="A157" s="3">
        <v>151</v>
      </c>
      <c r="B157" s="19" t="s">
        <v>191</v>
      </c>
      <c r="C157" s="19"/>
      <c r="D157" s="2" t="s">
        <v>22</v>
      </c>
      <c r="E157" s="22">
        <v>1</v>
      </c>
      <c r="F157" s="24">
        <f t="shared" si="2"/>
        <v>692.0303250000001</v>
      </c>
      <c r="G157" s="7">
        <f>573.11*1.15</f>
        <v>659.0765</v>
      </c>
    </row>
    <row r="158" spans="1:7" ht="12">
      <c r="A158" s="3">
        <v>152</v>
      </c>
      <c r="B158" s="19" t="s">
        <v>192</v>
      </c>
      <c r="C158" s="19"/>
      <c r="D158" s="2" t="s">
        <v>22</v>
      </c>
      <c r="E158" s="22">
        <v>1</v>
      </c>
      <c r="F158" s="24">
        <f t="shared" si="2"/>
        <v>840.6615</v>
      </c>
      <c r="G158" s="7">
        <f>696.2*1.15</f>
        <v>800.63</v>
      </c>
    </row>
    <row r="159" spans="1:7" ht="12">
      <c r="A159" s="3">
        <v>153</v>
      </c>
      <c r="B159" s="19" t="s">
        <v>193</v>
      </c>
      <c r="C159" s="19"/>
      <c r="D159" s="2" t="s">
        <v>22</v>
      </c>
      <c r="E159" s="22">
        <v>1</v>
      </c>
      <c r="F159" s="24">
        <f t="shared" si="2"/>
        <v>1384.8213749999998</v>
      </c>
      <c r="G159" s="7">
        <f>1146.85*1.15</f>
        <v>1318.8774999999998</v>
      </c>
    </row>
    <row r="160" spans="1:7" ht="24" customHeight="1">
      <c r="A160" s="3">
        <v>154</v>
      </c>
      <c r="B160" s="19" t="s">
        <v>194</v>
      </c>
      <c r="C160" s="19"/>
      <c r="D160" s="2" t="s">
        <v>8</v>
      </c>
      <c r="E160" s="22">
        <v>1</v>
      </c>
      <c r="F160" s="24">
        <f t="shared" si="2"/>
        <v>1189.2788249999999</v>
      </c>
      <c r="G160" s="7">
        <f>984.91*1.15</f>
        <v>1132.6464999999998</v>
      </c>
    </row>
    <row r="161" spans="1:7" ht="12">
      <c r="A161" s="3">
        <v>155</v>
      </c>
      <c r="B161" s="19" t="s">
        <v>195</v>
      </c>
      <c r="C161" s="19"/>
      <c r="D161" s="2" t="s">
        <v>24</v>
      </c>
      <c r="E161" s="22">
        <v>1</v>
      </c>
      <c r="F161" s="24">
        <f t="shared" si="2"/>
        <v>3058.247325</v>
      </c>
      <c r="G161" s="7">
        <f>2532.71*1.15</f>
        <v>2912.6164999999996</v>
      </c>
    </row>
    <row r="162" spans="1:7" ht="12.75" customHeight="1">
      <c r="A162" s="3">
        <v>156</v>
      </c>
      <c r="B162" s="19" t="s">
        <v>196</v>
      </c>
      <c r="C162" s="19"/>
      <c r="D162" s="2" t="s">
        <v>24</v>
      </c>
      <c r="E162" s="22">
        <v>1</v>
      </c>
      <c r="F162" s="24">
        <f t="shared" si="2"/>
        <v>1958.1665249999999</v>
      </c>
      <c r="G162" s="7">
        <f>1621.67*1.15</f>
        <v>1864.9205</v>
      </c>
    </row>
    <row r="163" spans="1:7" ht="12">
      <c r="A163" s="3">
        <v>157</v>
      </c>
      <c r="B163" s="19" t="s">
        <v>197</v>
      </c>
      <c r="C163" s="19"/>
      <c r="D163" s="2" t="s">
        <v>23</v>
      </c>
      <c r="E163" s="22">
        <v>1</v>
      </c>
      <c r="F163" s="24">
        <f t="shared" si="2"/>
        <v>48.819224999999996</v>
      </c>
      <c r="G163" s="7">
        <f>40.43*1.15</f>
        <v>46.494499999999995</v>
      </c>
    </row>
    <row r="164" spans="1:7" ht="12">
      <c r="A164" s="3">
        <v>158</v>
      </c>
      <c r="B164" s="19" t="s">
        <v>198</v>
      </c>
      <c r="C164" s="19"/>
      <c r="D164" s="2" t="s">
        <v>3</v>
      </c>
      <c r="E164" s="22">
        <v>1</v>
      </c>
      <c r="F164" s="24">
        <f t="shared" si="2"/>
        <v>804.5693249999998</v>
      </c>
      <c r="G164" s="7">
        <f>666.31*1.15</f>
        <v>766.2564999999998</v>
      </c>
    </row>
    <row r="165" spans="1:7" ht="12">
      <c r="A165" s="3">
        <v>159</v>
      </c>
      <c r="B165" s="19" t="s">
        <v>199</v>
      </c>
      <c r="C165" s="19"/>
      <c r="D165" s="2" t="s">
        <v>3</v>
      </c>
      <c r="E165" s="22">
        <v>1</v>
      </c>
      <c r="F165" s="24">
        <f t="shared" si="2"/>
        <v>77.98035</v>
      </c>
      <c r="G165" s="7">
        <f>64.58*1.15</f>
        <v>74.267</v>
      </c>
    </row>
    <row r="166" spans="1:7" ht="12">
      <c r="A166" s="3">
        <v>160</v>
      </c>
      <c r="B166" s="19" t="s">
        <v>200</v>
      </c>
      <c r="C166" s="19"/>
      <c r="D166" s="2" t="s">
        <v>3</v>
      </c>
      <c r="E166" s="22">
        <v>1</v>
      </c>
      <c r="F166" s="24">
        <f t="shared" si="2"/>
        <v>63.997499999999995</v>
      </c>
      <c r="G166" s="7">
        <f>53*1.15</f>
        <v>60.949999999999996</v>
      </c>
    </row>
    <row r="167" spans="1:7" ht="12">
      <c r="A167" s="3">
        <v>161</v>
      </c>
      <c r="B167" s="19" t="s">
        <v>201</v>
      </c>
      <c r="C167" s="19"/>
      <c r="D167" s="2" t="s">
        <v>3</v>
      </c>
      <c r="E167" s="22">
        <v>1</v>
      </c>
      <c r="F167" s="24">
        <f t="shared" si="2"/>
        <v>89.80177499999999</v>
      </c>
      <c r="G167" s="7">
        <f>74.37*1.15</f>
        <v>85.5255</v>
      </c>
    </row>
    <row r="168" spans="1:7" ht="12">
      <c r="A168" s="3">
        <v>162</v>
      </c>
      <c r="B168" s="19" t="s">
        <v>202</v>
      </c>
      <c r="C168" s="19"/>
      <c r="D168" s="2" t="s">
        <v>23</v>
      </c>
      <c r="E168" s="22">
        <v>1</v>
      </c>
      <c r="F168" s="24">
        <f t="shared" si="2"/>
        <v>3.296475</v>
      </c>
      <c r="G168" s="7">
        <f>2.73*1.15</f>
        <v>3.1395</v>
      </c>
    </row>
    <row r="169" spans="1:7" ht="24" customHeight="1">
      <c r="A169" s="3">
        <v>163</v>
      </c>
      <c r="B169" s="19" t="s">
        <v>203</v>
      </c>
      <c r="C169" s="19"/>
      <c r="D169" s="2" t="s">
        <v>23</v>
      </c>
      <c r="E169" s="22">
        <v>1</v>
      </c>
      <c r="F169" s="24">
        <f t="shared" si="2"/>
        <v>163.555875</v>
      </c>
      <c r="G169" s="7">
        <f>135.45*1.15</f>
        <v>155.76749999999998</v>
      </c>
    </row>
    <row r="170" spans="1:7" ht="12">
      <c r="A170" s="3">
        <v>164</v>
      </c>
      <c r="B170" s="19" t="s">
        <v>204</v>
      </c>
      <c r="C170" s="19"/>
      <c r="D170" s="2" t="s">
        <v>23</v>
      </c>
      <c r="E170" s="22">
        <v>1</v>
      </c>
      <c r="F170" s="24">
        <f t="shared" si="2"/>
        <v>48.722624999999994</v>
      </c>
      <c r="G170" s="7">
        <f>40.35*1.15</f>
        <v>46.402499999999996</v>
      </c>
    </row>
    <row r="171" spans="1:7" ht="12">
      <c r="A171" s="3">
        <v>165</v>
      </c>
      <c r="B171" s="19" t="s">
        <v>205</v>
      </c>
      <c r="C171" s="19"/>
      <c r="D171" s="2" t="s">
        <v>22</v>
      </c>
      <c r="E171" s="22">
        <v>1</v>
      </c>
      <c r="F171" s="24">
        <f t="shared" si="2"/>
        <v>3847.855725</v>
      </c>
      <c r="G171" s="7">
        <f>3186.63*1.15</f>
        <v>3664.6245</v>
      </c>
    </row>
    <row r="172" spans="1:7" ht="12">
      <c r="A172" s="3">
        <v>166</v>
      </c>
      <c r="B172" s="19" t="s">
        <v>206</v>
      </c>
      <c r="C172" s="19"/>
      <c r="D172" s="2" t="s">
        <v>207</v>
      </c>
      <c r="E172" s="22">
        <v>1</v>
      </c>
      <c r="F172" s="24">
        <f t="shared" si="2"/>
        <v>303.7104</v>
      </c>
      <c r="G172" s="7">
        <f>251.52*1.15</f>
        <v>289.248</v>
      </c>
    </row>
    <row r="173" spans="1:7" ht="12">
      <c r="A173" s="3">
        <v>167</v>
      </c>
      <c r="B173" s="19" t="s">
        <v>208</v>
      </c>
      <c r="C173" s="19"/>
      <c r="D173" s="2" t="s">
        <v>3</v>
      </c>
      <c r="E173" s="22">
        <v>1</v>
      </c>
      <c r="F173" s="24">
        <f t="shared" si="2"/>
        <v>22.29045</v>
      </c>
      <c r="G173" s="7">
        <f>18.46*1.15</f>
        <v>21.229</v>
      </c>
    </row>
    <row r="174" spans="1:7" ht="12">
      <c r="A174" s="3">
        <v>168</v>
      </c>
      <c r="B174" s="19" t="s">
        <v>209</v>
      </c>
      <c r="C174" s="19"/>
      <c r="D174" s="2" t="s">
        <v>23</v>
      </c>
      <c r="E174" s="22">
        <v>1</v>
      </c>
      <c r="F174" s="24">
        <f t="shared" si="2"/>
        <v>145.60034999999996</v>
      </c>
      <c r="G174" s="7">
        <f>120.58*1.15</f>
        <v>138.66699999999997</v>
      </c>
    </row>
    <row r="175" spans="1:7" ht="12">
      <c r="A175" s="3">
        <v>169</v>
      </c>
      <c r="B175" s="19" t="s">
        <v>210</v>
      </c>
      <c r="C175" s="19"/>
      <c r="D175" s="2" t="s">
        <v>3</v>
      </c>
      <c r="E175" s="22">
        <v>1</v>
      </c>
      <c r="F175" s="24">
        <f t="shared" si="2"/>
        <v>11.072774999999998</v>
      </c>
      <c r="G175" s="7">
        <f>9.17*1.15</f>
        <v>10.545499999999999</v>
      </c>
    </row>
    <row r="176" spans="1:7" ht="12">
      <c r="A176" s="3">
        <v>170</v>
      </c>
      <c r="B176" s="19" t="s">
        <v>211</v>
      </c>
      <c r="C176" s="19"/>
      <c r="D176" s="2" t="s">
        <v>23</v>
      </c>
      <c r="E176" s="22">
        <v>1</v>
      </c>
      <c r="F176" s="24">
        <f t="shared" si="2"/>
        <v>5.4096</v>
      </c>
      <c r="G176" s="7">
        <f>4.48*1.15</f>
        <v>5.152</v>
      </c>
    </row>
    <row r="177" spans="1:7" ht="24.75" customHeight="1">
      <c r="A177" s="3">
        <v>171</v>
      </c>
      <c r="B177" s="19" t="s">
        <v>212</v>
      </c>
      <c r="C177" s="19"/>
      <c r="D177" s="2" t="s">
        <v>3</v>
      </c>
      <c r="E177" s="22">
        <v>1</v>
      </c>
      <c r="F177" s="24">
        <f t="shared" si="2"/>
        <v>35.210699999999996</v>
      </c>
      <c r="G177" s="7">
        <f>29.16*1.15</f>
        <v>33.534</v>
      </c>
    </row>
    <row r="178" spans="1:7" ht="12">
      <c r="A178" s="3">
        <v>172</v>
      </c>
      <c r="B178" s="19" t="s">
        <v>213</v>
      </c>
      <c r="C178" s="19"/>
      <c r="D178" s="2" t="s">
        <v>3</v>
      </c>
      <c r="E178" s="22">
        <v>1</v>
      </c>
      <c r="F178" s="24">
        <f t="shared" si="2"/>
        <v>15.093749999999998</v>
      </c>
      <c r="G178" s="7">
        <f>12.5*1.15</f>
        <v>14.374999999999998</v>
      </c>
    </row>
    <row r="179" spans="1:7" ht="12">
      <c r="A179" s="3">
        <v>173</v>
      </c>
      <c r="B179" s="19" t="s">
        <v>214</v>
      </c>
      <c r="C179" s="19"/>
      <c r="D179" s="2" t="s">
        <v>22</v>
      </c>
      <c r="E179" s="22">
        <v>1</v>
      </c>
      <c r="F179" s="24">
        <f t="shared" si="2"/>
        <v>1573.770975</v>
      </c>
      <c r="G179" s="7">
        <f>1303.33*1.15</f>
        <v>1498.8294999999998</v>
      </c>
    </row>
    <row r="180" spans="1:7" ht="24" customHeight="1">
      <c r="A180" s="3">
        <v>174</v>
      </c>
      <c r="B180" s="19" t="s">
        <v>215</v>
      </c>
      <c r="C180" s="19"/>
      <c r="D180" s="2" t="s">
        <v>3</v>
      </c>
      <c r="E180" s="22">
        <v>1</v>
      </c>
      <c r="F180" s="24">
        <f t="shared" si="2"/>
        <v>17.182724999999998</v>
      </c>
      <c r="G180" s="7">
        <f>14.23*1.15</f>
        <v>16.3645</v>
      </c>
    </row>
    <row r="181" spans="1:7" ht="12">
      <c r="A181" s="3">
        <v>175</v>
      </c>
      <c r="B181" s="19" t="s">
        <v>216</v>
      </c>
      <c r="C181" s="19"/>
      <c r="D181" s="2" t="s">
        <v>3</v>
      </c>
      <c r="E181" s="22">
        <v>1</v>
      </c>
      <c r="F181" s="24">
        <f t="shared" si="2"/>
        <v>80.72137499999998</v>
      </c>
      <c r="G181" s="7">
        <f>66.85*1.15</f>
        <v>76.87749999999998</v>
      </c>
    </row>
    <row r="182" spans="1:7" ht="12" customHeight="1">
      <c r="A182" s="3">
        <v>176</v>
      </c>
      <c r="B182" s="19" t="s">
        <v>217</v>
      </c>
      <c r="C182" s="19"/>
      <c r="D182" s="2" t="s">
        <v>24</v>
      </c>
      <c r="E182" s="22">
        <v>1</v>
      </c>
      <c r="F182" s="24">
        <f t="shared" si="2"/>
        <v>293.72437499999995</v>
      </c>
      <c r="G182" s="7">
        <f>243.25*1.15</f>
        <v>279.73749999999995</v>
      </c>
    </row>
    <row r="183" spans="1:7" ht="24" customHeight="1">
      <c r="A183" s="3">
        <v>177</v>
      </c>
      <c r="B183" s="19" t="s">
        <v>218</v>
      </c>
      <c r="C183" s="19"/>
      <c r="D183" s="2" t="s">
        <v>3</v>
      </c>
      <c r="E183" s="22">
        <v>1</v>
      </c>
      <c r="F183" s="24">
        <f t="shared" si="2"/>
        <v>19.380375</v>
      </c>
      <c r="G183" s="7">
        <f>16.05*1.15</f>
        <v>18.4575</v>
      </c>
    </row>
    <row r="184" spans="1:7" ht="12">
      <c r="A184" s="3">
        <v>178</v>
      </c>
      <c r="B184" s="19" t="s">
        <v>219</v>
      </c>
      <c r="C184" s="19"/>
      <c r="D184" s="2" t="s">
        <v>23</v>
      </c>
      <c r="E184" s="22">
        <v>1</v>
      </c>
      <c r="F184" s="24">
        <f t="shared" si="2"/>
        <v>175.993125</v>
      </c>
      <c r="G184" s="7">
        <f>145.75*1.15</f>
        <v>167.61249999999998</v>
      </c>
    </row>
    <row r="185" spans="1:7" ht="12" customHeight="1">
      <c r="A185" s="3">
        <v>179</v>
      </c>
      <c r="B185" s="19" t="s">
        <v>220</v>
      </c>
      <c r="C185" s="19"/>
      <c r="D185" s="2" t="s">
        <v>10</v>
      </c>
      <c r="E185" s="22">
        <v>1</v>
      </c>
      <c r="F185" s="24">
        <f t="shared" si="2"/>
        <v>279.065325</v>
      </c>
      <c r="G185" s="7">
        <f>231.11*1.15</f>
        <v>265.7765</v>
      </c>
    </row>
    <row r="186" spans="1:7" ht="12">
      <c r="A186" s="3">
        <v>180</v>
      </c>
      <c r="B186" s="19" t="s">
        <v>221</v>
      </c>
      <c r="C186" s="19"/>
      <c r="D186" s="2" t="s">
        <v>113</v>
      </c>
      <c r="E186" s="22">
        <v>1</v>
      </c>
      <c r="F186" s="24">
        <f t="shared" si="2"/>
        <v>872.817225</v>
      </c>
      <c r="G186" s="7">
        <f>722.83*1.15</f>
        <v>831.2545</v>
      </c>
    </row>
    <row r="187" spans="1:7" ht="12">
      <c r="A187" s="3">
        <v>181</v>
      </c>
      <c r="B187" s="19" t="s">
        <v>222</v>
      </c>
      <c r="C187" s="19"/>
      <c r="D187" s="2" t="s">
        <v>8</v>
      </c>
      <c r="E187" s="22">
        <v>1</v>
      </c>
      <c r="F187" s="24">
        <f t="shared" si="2"/>
        <v>428.01044999999993</v>
      </c>
      <c r="G187" s="7">
        <f>354.46*1.15</f>
        <v>407.62899999999996</v>
      </c>
    </row>
    <row r="188" spans="1:7" ht="12">
      <c r="A188" s="3">
        <v>182</v>
      </c>
      <c r="B188" s="19" t="s">
        <v>223</v>
      </c>
      <c r="C188" s="19"/>
      <c r="D188" s="2" t="s">
        <v>224</v>
      </c>
      <c r="E188" s="22">
        <v>1</v>
      </c>
      <c r="F188" s="24">
        <f t="shared" si="2"/>
        <v>68.6826</v>
      </c>
      <c r="G188" s="7">
        <f>56.88*1.15</f>
        <v>65.41199999999999</v>
      </c>
    </row>
    <row r="189" spans="1:7" ht="12">
      <c r="A189" s="3">
        <v>183</v>
      </c>
      <c r="B189" s="19" t="s">
        <v>225</v>
      </c>
      <c r="C189" s="19"/>
      <c r="D189" s="2" t="s">
        <v>8</v>
      </c>
      <c r="E189" s="22">
        <v>1</v>
      </c>
      <c r="F189" s="24">
        <f t="shared" si="2"/>
        <v>113.49292499999999</v>
      </c>
      <c r="G189" s="7">
        <f>93.99*1.15</f>
        <v>108.08849999999998</v>
      </c>
    </row>
    <row r="190" spans="1:7" ht="12">
      <c r="A190" s="3">
        <v>184</v>
      </c>
      <c r="B190" s="19" t="s">
        <v>226</v>
      </c>
      <c r="C190" s="19"/>
      <c r="D190" s="2" t="s">
        <v>8</v>
      </c>
      <c r="E190" s="22">
        <v>1</v>
      </c>
      <c r="F190" s="24">
        <f t="shared" si="2"/>
        <v>636.026475</v>
      </c>
      <c r="G190" s="7">
        <f>526.73*1.15</f>
        <v>605.7395</v>
      </c>
    </row>
    <row r="191" spans="1:7" ht="12">
      <c r="A191" s="3">
        <v>185</v>
      </c>
      <c r="B191" s="19" t="s">
        <v>227</v>
      </c>
      <c r="C191" s="19"/>
      <c r="D191" s="2" t="s">
        <v>8</v>
      </c>
      <c r="E191" s="22">
        <v>1</v>
      </c>
      <c r="F191" s="24">
        <f t="shared" si="2"/>
        <v>127.21012499999999</v>
      </c>
      <c r="G191" s="7">
        <f>105.35*1.15</f>
        <v>121.15249999999999</v>
      </c>
    </row>
    <row r="192" spans="1:7" ht="23.25" customHeight="1">
      <c r="A192" s="3">
        <v>186</v>
      </c>
      <c r="B192" s="19" t="s">
        <v>228</v>
      </c>
      <c r="C192" s="19"/>
      <c r="D192" s="2" t="s">
        <v>23</v>
      </c>
      <c r="E192" s="22">
        <v>1</v>
      </c>
      <c r="F192" s="24">
        <f t="shared" si="2"/>
        <v>78.37882499999999</v>
      </c>
      <c r="G192" s="7">
        <f>64.91*1.15</f>
        <v>74.64649999999999</v>
      </c>
    </row>
    <row r="193" spans="1:7" ht="23.25" customHeight="1">
      <c r="A193" s="3">
        <v>187</v>
      </c>
      <c r="B193" s="19" t="s">
        <v>229</v>
      </c>
      <c r="C193" s="19"/>
      <c r="D193" s="2" t="s">
        <v>23</v>
      </c>
      <c r="E193" s="22">
        <v>1</v>
      </c>
      <c r="F193" s="24">
        <f t="shared" si="2"/>
        <v>188.87714999999997</v>
      </c>
      <c r="G193" s="7">
        <f>156.42*1.15</f>
        <v>179.88299999999998</v>
      </c>
    </row>
    <row r="194" spans="1:7" ht="23.25" customHeight="1">
      <c r="A194" s="3">
        <v>188</v>
      </c>
      <c r="B194" s="19" t="s">
        <v>230</v>
      </c>
      <c r="C194" s="19"/>
      <c r="D194" s="2" t="s">
        <v>23</v>
      </c>
      <c r="E194" s="22">
        <v>1</v>
      </c>
      <c r="F194" s="24">
        <f t="shared" si="2"/>
        <v>88.376925</v>
      </c>
      <c r="G194" s="7">
        <f>73.19*1.15</f>
        <v>84.1685</v>
      </c>
    </row>
    <row r="195" spans="1:7" ht="12">
      <c r="A195" s="3">
        <v>189</v>
      </c>
      <c r="B195" s="19" t="s">
        <v>231</v>
      </c>
      <c r="C195" s="19"/>
      <c r="D195" s="2" t="s">
        <v>23</v>
      </c>
      <c r="E195" s="22">
        <v>1</v>
      </c>
      <c r="F195" s="24">
        <f t="shared" si="2"/>
        <v>34.70354999999999</v>
      </c>
      <c r="G195" s="7">
        <f>28.74*1.15</f>
        <v>33.050999999999995</v>
      </c>
    </row>
    <row r="196" spans="1:7" ht="12">
      <c r="A196" s="3">
        <v>190</v>
      </c>
      <c r="B196" s="19" t="s">
        <v>232</v>
      </c>
      <c r="C196" s="19"/>
      <c r="D196" s="2" t="s">
        <v>8</v>
      </c>
      <c r="E196" s="22">
        <v>1</v>
      </c>
      <c r="F196" s="24">
        <f t="shared" si="2"/>
        <v>189.39637499999998</v>
      </c>
      <c r="G196" s="7">
        <f>156.85*1.15</f>
        <v>180.37749999999997</v>
      </c>
    </row>
    <row r="197" spans="1:7" ht="12">
      <c r="A197" s="3">
        <v>191</v>
      </c>
      <c r="B197" s="19" t="s">
        <v>233</v>
      </c>
      <c r="C197" s="19"/>
      <c r="D197" s="2" t="s">
        <v>23</v>
      </c>
      <c r="E197" s="22">
        <v>1</v>
      </c>
      <c r="F197" s="24">
        <f t="shared" si="2"/>
        <v>679.8828749999999</v>
      </c>
      <c r="G197" s="7">
        <f>563.05*1.15</f>
        <v>647.5074999999999</v>
      </c>
    </row>
    <row r="198" spans="1:7" ht="12">
      <c r="A198" s="3">
        <v>192</v>
      </c>
      <c r="B198" s="19" t="s">
        <v>234</v>
      </c>
      <c r="C198" s="19"/>
      <c r="D198" s="2" t="s">
        <v>24</v>
      </c>
      <c r="E198" s="22">
        <v>1</v>
      </c>
      <c r="F198" s="24">
        <f t="shared" si="2"/>
        <v>12144.878025</v>
      </c>
      <c r="G198" s="7">
        <f>10057.87*1.15</f>
        <v>11566.5505</v>
      </c>
    </row>
    <row r="199" spans="1:7" ht="12">
      <c r="A199" s="3">
        <v>193</v>
      </c>
      <c r="B199" s="19" t="s">
        <v>355</v>
      </c>
      <c r="C199" s="19"/>
      <c r="D199" s="2" t="s">
        <v>3</v>
      </c>
      <c r="E199" s="22">
        <v>1</v>
      </c>
      <c r="F199" s="24">
        <f t="shared" si="2"/>
        <v>334.5258</v>
      </c>
      <c r="G199" s="7">
        <f>277.04*1.15</f>
        <v>318.596</v>
      </c>
    </row>
    <row r="200" spans="1:7" ht="12">
      <c r="A200" s="3">
        <v>194</v>
      </c>
      <c r="B200" s="19" t="s">
        <v>235</v>
      </c>
      <c r="C200" s="19"/>
      <c r="D200" s="2" t="s">
        <v>3</v>
      </c>
      <c r="E200" s="22">
        <v>1</v>
      </c>
      <c r="F200" s="24">
        <f aca="true" t="shared" si="3" ref="F200:F263">G200+(G200*5)/100</f>
        <v>648.7535249999999</v>
      </c>
      <c r="G200" s="7">
        <f>537.27*1.15</f>
        <v>617.8604999999999</v>
      </c>
    </row>
    <row r="201" spans="1:7" ht="12">
      <c r="A201" s="3">
        <v>195</v>
      </c>
      <c r="B201" s="19" t="s">
        <v>236</v>
      </c>
      <c r="C201" s="19"/>
      <c r="D201" s="2" t="s">
        <v>8</v>
      </c>
      <c r="E201" s="22">
        <v>1</v>
      </c>
      <c r="F201" s="24">
        <f t="shared" si="3"/>
        <v>204.68332499999997</v>
      </c>
      <c r="G201" s="7">
        <f>169.51*1.15</f>
        <v>194.93649999999997</v>
      </c>
    </row>
    <row r="202" spans="1:7" ht="25.5" customHeight="1">
      <c r="A202" s="3">
        <v>196</v>
      </c>
      <c r="B202" s="19" t="s">
        <v>237</v>
      </c>
      <c r="C202" s="19"/>
      <c r="D202" s="2" t="s">
        <v>3</v>
      </c>
      <c r="E202" s="22">
        <v>1</v>
      </c>
      <c r="F202" s="24">
        <f t="shared" si="3"/>
        <v>301.00559999999996</v>
      </c>
      <c r="G202" s="7">
        <f>249.28*1.15</f>
        <v>286.67199999999997</v>
      </c>
    </row>
    <row r="203" spans="1:7" ht="12">
      <c r="A203" s="3">
        <v>197</v>
      </c>
      <c r="B203" s="19" t="s">
        <v>238</v>
      </c>
      <c r="C203" s="19"/>
      <c r="D203" s="2" t="s">
        <v>3</v>
      </c>
      <c r="E203" s="22">
        <v>1</v>
      </c>
      <c r="F203" s="24">
        <f t="shared" si="3"/>
        <v>509.39594999999997</v>
      </c>
      <c r="G203" s="7">
        <f>421.86*1.15</f>
        <v>485.13899999999995</v>
      </c>
    </row>
    <row r="204" spans="1:7" ht="12">
      <c r="A204" s="3">
        <v>198</v>
      </c>
      <c r="B204" s="19" t="s">
        <v>239</v>
      </c>
      <c r="C204" s="19"/>
      <c r="D204" s="2" t="s">
        <v>3</v>
      </c>
      <c r="E204" s="22">
        <v>1</v>
      </c>
      <c r="F204" s="24">
        <f t="shared" si="3"/>
        <v>317.95889999999997</v>
      </c>
      <c r="G204" s="7">
        <f>263.32*1.15</f>
        <v>302.818</v>
      </c>
    </row>
    <row r="205" spans="1:7" ht="12">
      <c r="A205" s="3">
        <v>199</v>
      </c>
      <c r="B205" s="19" t="s">
        <v>240</v>
      </c>
      <c r="C205" s="19"/>
      <c r="D205" s="2" t="s">
        <v>111</v>
      </c>
      <c r="E205" s="22">
        <v>1</v>
      </c>
      <c r="F205" s="24">
        <f t="shared" si="3"/>
        <v>8.247225</v>
      </c>
      <c r="G205" s="7">
        <f>6.83*1.15</f>
        <v>7.8545</v>
      </c>
    </row>
    <row r="206" spans="1:7" ht="12">
      <c r="A206" s="3">
        <v>200</v>
      </c>
      <c r="B206" s="19" t="s">
        <v>241</v>
      </c>
      <c r="C206" s="19"/>
      <c r="D206" s="2" t="s">
        <v>242</v>
      </c>
      <c r="E206" s="22">
        <v>1</v>
      </c>
      <c r="F206" s="24">
        <f t="shared" si="3"/>
        <v>22.000649999999997</v>
      </c>
      <c r="G206" s="7">
        <f>18.22*1.15</f>
        <v>20.952999999999996</v>
      </c>
    </row>
    <row r="207" spans="1:7" ht="12.75" customHeight="1">
      <c r="A207" s="3">
        <v>201</v>
      </c>
      <c r="B207" s="19" t="s">
        <v>353</v>
      </c>
      <c r="C207" s="19"/>
      <c r="D207" s="2" t="s">
        <v>105</v>
      </c>
      <c r="E207" s="22">
        <v>1</v>
      </c>
      <c r="F207" s="24">
        <f t="shared" si="3"/>
        <v>63.24885</v>
      </c>
      <c r="G207" s="7">
        <f>52.38*1.15</f>
        <v>60.236999999999995</v>
      </c>
    </row>
    <row r="208" spans="1:7" ht="24" customHeight="1">
      <c r="A208" s="3">
        <v>202</v>
      </c>
      <c r="B208" s="19" t="s">
        <v>243</v>
      </c>
      <c r="C208" s="19"/>
      <c r="D208" s="2" t="s">
        <v>41</v>
      </c>
      <c r="E208" s="22">
        <v>1</v>
      </c>
      <c r="F208" s="24">
        <f t="shared" si="3"/>
        <v>338.764125</v>
      </c>
      <c r="G208" s="7">
        <f>280.55*1.15</f>
        <v>322.6325</v>
      </c>
    </row>
    <row r="209" spans="1:7" ht="12">
      <c r="A209" s="3">
        <v>203</v>
      </c>
      <c r="B209" s="19" t="s">
        <v>244</v>
      </c>
      <c r="C209" s="19"/>
      <c r="D209" s="2" t="s">
        <v>3</v>
      </c>
      <c r="E209" s="22">
        <v>1</v>
      </c>
      <c r="F209" s="24">
        <f t="shared" si="3"/>
        <v>614.9918250000001</v>
      </c>
      <c r="G209" s="7">
        <f>509.31*1.15</f>
        <v>585.7065</v>
      </c>
    </row>
    <row r="210" spans="1:7" ht="12">
      <c r="A210" s="3">
        <v>204</v>
      </c>
      <c r="B210" s="19" t="s">
        <v>245</v>
      </c>
      <c r="C210" s="19"/>
      <c r="D210" s="2" t="s">
        <v>3</v>
      </c>
      <c r="E210" s="22">
        <v>1</v>
      </c>
      <c r="F210" s="24">
        <f t="shared" si="3"/>
        <v>301.00559999999996</v>
      </c>
      <c r="G210" s="7">
        <f>249.28*1.15</f>
        <v>286.67199999999997</v>
      </c>
    </row>
    <row r="211" spans="1:7" ht="12">
      <c r="A211" s="3">
        <v>205</v>
      </c>
      <c r="B211" s="19" t="s">
        <v>246</v>
      </c>
      <c r="C211" s="19"/>
      <c r="D211" s="2" t="s">
        <v>8</v>
      </c>
      <c r="E211" s="22">
        <v>1</v>
      </c>
      <c r="F211" s="24">
        <f t="shared" si="3"/>
        <v>164.99279999999996</v>
      </c>
      <c r="G211" s="7">
        <f>136.64*1.15</f>
        <v>157.13599999999997</v>
      </c>
    </row>
    <row r="212" spans="1:7" ht="12">
      <c r="A212" s="3">
        <v>206</v>
      </c>
      <c r="B212" s="19" t="s">
        <v>247</v>
      </c>
      <c r="C212" s="19"/>
      <c r="D212" s="2" t="s">
        <v>8</v>
      </c>
      <c r="E212" s="22">
        <v>1</v>
      </c>
      <c r="F212" s="24">
        <f t="shared" si="3"/>
        <v>743.010975</v>
      </c>
      <c r="G212" s="7">
        <f>615.33*1.15</f>
        <v>707.6295</v>
      </c>
    </row>
    <row r="213" spans="1:7" ht="24" customHeight="1">
      <c r="A213" s="3">
        <v>207</v>
      </c>
      <c r="B213" s="19" t="s">
        <v>248</v>
      </c>
      <c r="C213" s="19"/>
      <c r="D213" s="2" t="s">
        <v>3</v>
      </c>
      <c r="E213" s="22">
        <v>1</v>
      </c>
      <c r="F213" s="24">
        <f t="shared" si="3"/>
        <v>784.2953999999999</v>
      </c>
      <c r="G213" s="7">
        <f>649.52*1.15</f>
        <v>746.9479999999999</v>
      </c>
    </row>
    <row r="214" spans="1:7" ht="23.25" customHeight="1">
      <c r="A214" s="3">
        <v>208</v>
      </c>
      <c r="B214" s="19" t="s">
        <v>249</v>
      </c>
      <c r="C214" s="19"/>
      <c r="D214" s="2" t="s">
        <v>3</v>
      </c>
      <c r="E214" s="22">
        <v>1</v>
      </c>
      <c r="F214" s="24">
        <f t="shared" si="3"/>
        <v>342.3021</v>
      </c>
      <c r="G214" s="7">
        <f>283.48*1.15</f>
        <v>326.002</v>
      </c>
    </row>
    <row r="215" spans="1:7" ht="12">
      <c r="A215" s="3">
        <v>209</v>
      </c>
      <c r="B215" s="19" t="s">
        <v>250</v>
      </c>
      <c r="C215" s="19"/>
      <c r="D215" s="2" t="s">
        <v>3</v>
      </c>
      <c r="E215" s="22">
        <v>1</v>
      </c>
      <c r="F215" s="24">
        <f t="shared" si="3"/>
        <v>131.30354999999997</v>
      </c>
      <c r="G215" s="7">
        <f>108.74*1.15</f>
        <v>125.05099999999999</v>
      </c>
    </row>
    <row r="216" spans="1:7" ht="12">
      <c r="A216" s="3">
        <v>210</v>
      </c>
      <c r="B216" s="19" t="s">
        <v>251</v>
      </c>
      <c r="C216" s="19"/>
      <c r="D216" s="2" t="s">
        <v>8</v>
      </c>
      <c r="E216" s="22">
        <v>1</v>
      </c>
      <c r="F216" s="24">
        <f t="shared" si="3"/>
        <v>70.83194999999999</v>
      </c>
      <c r="G216" s="7">
        <f>58.66*1.15</f>
        <v>67.45899999999999</v>
      </c>
    </row>
    <row r="217" spans="1:7" ht="12">
      <c r="A217" s="3">
        <v>211</v>
      </c>
      <c r="B217" s="19" t="s">
        <v>252</v>
      </c>
      <c r="C217" s="19"/>
      <c r="D217" s="2" t="s">
        <v>3</v>
      </c>
      <c r="E217" s="22">
        <v>1</v>
      </c>
      <c r="F217" s="24">
        <f t="shared" si="3"/>
        <v>648.7535249999999</v>
      </c>
      <c r="G217" s="7">
        <f>537.27*1.15</f>
        <v>617.8604999999999</v>
      </c>
    </row>
    <row r="218" spans="1:7" ht="12">
      <c r="A218" s="3">
        <v>212</v>
      </c>
      <c r="B218" s="19" t="s">
        <v>253</v>
      </c>
      <c r="C218" s="19"/>
      <c r="D218" s="2" t="s">
        <v>3</v>
      </c>
      <c r="E218" s="22">
        <v>1</v>
      </c>
      <c r="F218" s="24">
        <f t="shared" si="3"/>
        <v>702.849525</v>
      </c>
      <c r="G218" s="7">
        <f>582.07*1.15</f>
        <v>669.3805</v>
      </c>
    </row>
    <row r="219" spans="1:7" ht="12">
      <c r="A219" s="3">
        <v>213</v>
      </c>
      <c r="B219" s="19" t="s">
        <v>254</v>
      </c>
      <c r="C219" s="19"/>
      <c r="D219" s="2" t="s">
        <v>8</v>
      </c>
      <c r="E219" s="22">
        <v>1</v>
      </c>
      <c r="F219" s="24">
        <f t="shared" si="3"/>
        <v>152.12085</v>
      </c>
      <c r="G219" s="7">
        <f>125.98*1.15</f>
        <v>144.87699999999998</v>
      </c>
    </row>
    <row r="220" spans="1:7" ht="12">
      <c r="A220" s="3">
        <v>214</v>
      </c>
      <c r="B220" s="19" t="s">
        <v>255</v>
      </c>
      <c r="C220" s="19"/>
      <c r="D220" s="2" t="s">
        <v>8</v>
      </c>
      <c r="E220" s="22">
        <v>1</v>
      </c>
      <c r="F220" s="24">
        <f t="shared" si="3"/>
        <v>126.195825</v>
      </c>
      <c r="G220" s="7">
        <f>104.51*1.15</f>
        <v>120.1865</v>
      </c>
    </row>
    <row r="221" spans="1:7" ht="12">
      <c r="A221" s="3">
        <v>215</v>
      </c>
      <c r="B221" s="19" t="s">
        <v>256</v>
      </c>
      <c r="C221" s="19"/>
      <c r="D221" s="2" t="s">
        <v>257</v>
      </c>
      <c r="E221" s="22">
        <v>1</v>
      </c>
      <c r="F221" s="24">
        <f t="shared" si="3"/>
        <v>146.119575</v>
      </c>
      <c r="G221" s="7">
        <f>121.01*1.15</f>
        <v>139.1615</v>
      </c>
    </row>
    <row r="222" spans="1:7" ht="12">
      <c r="A222" s="3">
        <v>216</v>
      </c>
      <c r="B222" s="19" t="s">
        <v>258</v>
      </c>
      <c r="C222" s="19"/>
      <c r="D222" s="2" t="s">
        <v>8</v>
      </c>
      <c r="E222" s="22">
        <v>1</v>
      </c>
      <c r="F222" s="24">
        <f t="shared" si="3"/>
        <v>471.8427</v>
      </c>
      <c r="G222" s="7">
        <f>390.76*1.15</f>
        <v>449.37399999999997</v>
      </c>
    </row>
    <row r="223" spans="1:7" ht="23.25" customHeight="1">
      <c r="A223" s="3">
        <v>217</v>
      </c>
      <c r="B223" s="19" t="s">
        <v>259</v>
      </c>
      <c r="C223" s="19"/>
      <c r="D223" s="2" t="s">
        <v>3</v>
      </c>
      <c r="E223" s="22">
        <v>1</v>
      </c>
      <c r="F223" s="24">
        <f t="shared" si="3"/>
        <v>137.570475</v>
      </c>
      <c r="G223" s="7">
        <f>113.93*1.15</f>
        <v>131.0195</v>
      </c>
    </row>
    <row r="224" spans="1:7" ht="12">
      <c r="A224" s="3">
        <v>218</v>
      </c>
      <c r="B224" s="19" t="s">
        <v>260</v>
      </c>
      <c r="C224" s="19"/>
      <c r="D224" s="2" t="s">
        <v>3</v>
      </c>
      <c r="E224" s="22">
        <v>1</v>
      </c>
      <c r="F224" s="24">
        <f t="shared" si="3"/>
        <v>230.427225</v>
      </c>
      <c r="G224" s="7">
        <f>190.83*1.15</f>
        <v>219.4545</v>
      </c>
    </row>
    <row r="225" spans="1:7" ht="12">
      <c r="A225" s="3">
        <v>219</v>
      </c>
      <c r="B225" s="19" t="s">
        <v>261</v>
      </c>
      <c r="C225" s="19"/>
      <c r="D225" s="2" t="s">
        <v>3</v>
      </c>
      <c r="E225" s="22">
        <v>1</v>
      </c>
      <c r="F225" s="24">
        <f t="shared" si="3"/>
        <v>391.845825</v>
      </c>
      <c r="G225" s="7">
        <f>324.51*1.15</f>
        <v>373.18649999999997</v>
      </c>
    </row>
    <row r="226" spans="1:7" ht="12">
      <c r="A226" s="3">
        <v>220</v>
      </c>
      <c r="B226" s="19" t="s">
        <v>262</v>
      </c>
      <c r="C226" s="19"/>
      <c r="D226" s="2" t="s">
        <v>3</v>
      </c>
      <c r="E226" s="22">
        <v>1</v>
      </c>
      <c r="F226" s="24">
        <f t="shared" si="3"/>
        <v>434.856975</v>
      </c>
      <c r="G226" s="7">
        <f>360.13*1.15</f>
        <v>414.1495</v>
      </c>
    </row>
    <row r="227" spans="1:7" ht="24" customHeight="1">
      <c r="A227" s="3">
        <v>221</v>
      </c>
      <c r="B227" s="19" t="s">
        <v>263</v>
      </c>
      <c r="C227" s="19"/>
      <c r="D227" s="2" t="s">
        <v>3</v>
      </c>
      <c r="E227" s="22">
        <v>1</v>
      </c>
      <c r="F227" s="24">
        <f t="shared" si="3"/>
        <v>416.6237249999999</v>
      </c>
      <c r="G227" s="7">
        <f>345.03*1.15</f>
        <v>396.7844999999999</v>
      </c>
    </row>
    <row r="228" spans="1:7" ht="12">
      <c r="A228" s="3">
        <v>222</v>
      </c>
      <c r="B228" s="19" t="s">
        <v>264</v>
      </c>
      <c r="C228" s="19"/>
      <c r="D228" s="2" t="s">
        <v>3</v>
      </c>
      <c r="E228" s="22">
        <v>1</v>
      </c>
      <c r="F228" s="24">
        <f t="shared" si="3"/>
        <v>654.7910249999999</v>
      </c>
      <c r="G228" s="7">
        <f>542.27*1.15</f>
        <v>623.6104999999999</v>
      </c>
    </row>
    <row r="229" spans="1:7" ht="12">
      <c r="A229" s="3">
        <v>223</v>
      </c>
      <c r="B229" s="19" t="s">
        <v>265</v>
      </c>
      <c r="C229" s="19"/>
      <c r="D229" s="2" t="s">
        <v>3</v>
      </c>
      <c r="E229" s="22">
        <v>1</v>
      </c>
      <c r="F229" s="24">
        <f t="shared" si="3"/>
        <v>766.074225</v>
      </c>
      <c r="G229" s="7">
        <f>634.43*1.15</f>
        <v>729.5944999999999</v>
      </c>
    </row>
    <row r="230" spans="1:7" ht="12">
      <c r="A230" s="3">
        <v>224</v>
      </c>
      <c r="B230" s="19" t="s">
        <v>266</v>
      </c>
      <c r="C230" s="19"/>
      <c r="D230" s="2" t="s">
        <v>3</v>
      </c>
      <c r="E230" s="22">
        <v>1</v>
      </c>
      <c r="F230" s="24">
        <f t="shared" si="3"/>
        <v>360.23347499999994</v>
      </c>
      <c r="G230" s="7">
        <f>298.33*1.15</f>
        <v>343.07949999999994</v>
      </c>
    </row>
    <row r="231" spans="1:7" ht="12">
      <c r="A231" s="3">
        <v>225</v>
      </c>
      <c r="B231" s="19" t="s">
        <v>267</v>
      </c>
      <c r="C231" s="19"/>
      <c r="D231" s="2" t="s">
        <v>3</v>
      </c>
      <c r="E231" s="22">
        <v>1</v>
      </c>
      <c r="F231" s="24">
        <f t="shared" si="3"/>
        <v>360.10065000000003</v>
      </c>
      <c r="G231" s="7">
        <f>298.22*1.15</f>
        <v>342.95300000000003</v>
      </c>
    </row>
    <row r="232" spans="1:7" ht="12">
      <c r="A232" s="3">
        <v>226</v>
      </c>
      <c r="B232" s="19" t="s">
        <v>268</v>
      </c>
      <c r="C232" s="19"/>
      <c r="D232" s="2" t="s">
        <v>3</v>
      </c>
      <c r="E232" s="22">
        <v>1</v>
      </c>
      <c r="F232" s="24">
        <f t="shared" si="3"/>
        <v>649.9489499999999</v>
      </c>
      <c r="G232" s="7">
        <f>538.26*1.15</f>
        <v>618.9989999999999</v>
      </c>
    </row>
    <row r="233" spans="1:7" ht="12">
      <c r="A233" s="3">
        <v>227</v>
      </c>
      <c r="B233" s="19" t="s">
        <v>269</v>
      </c>
      <c r="C233" s="19"/>
      <c r="D233" s="2" t="s">
        <v>3</v>
      </c>
      <c r="E233" s="22">
        <v>1</v>
      </c>
      <c r="F233" s="24">
        <f t="shared" si="3"/>
        <v>360.10065000000003</v>
      </c>
      <c r="G233" s="7">
        <f>298.22*1.15</f>
        <v>342.95300000000003</v>
      </c>
    </row>
    <row r="234" spans="1:7" ht="12">
      <c r="A234" s="3">
        <v>228</v>
      </c>
      <c r="B234" s="19" t="s">
        <v>270</v>
      </c>
      <c r="C234" s="19"/>
      <c r="D234" s="2" t="s">
        <v>8</v>
      </c>
      <c r="E234" s="22">
        <v>1</v>
      </c>
      <c r="F234" s="24">
        <f t="shared" si="3"/>
        <v>1144.92735</v>
      </c>
      <c r="G234" s="7">
        <f>948.18*1.15</f>
        <v>1090.407</v>
      </c>
    </row>
    <row r="235" spans="1:7" ht="12">
      <c r="A235" s="3">
        <v>229</v>
      </c>
      <c r="B235" s="19" t="s">
        <v>271</v>
      </c>
      <c r="C235" s="19"/>
      <c r="D235" s="2" t="s">
        <v>8</v>
      </c>
      <c r="E235" s="22">
        <v>1</v>
      </c>
      <c r="F235" s="24">
        <f t="shared" si="3"/>
        <v>197.100225</v>
      </c>
      <c r="G235" s="7">
        <f>163.23*1.15</f>
        <v>187.7145</v>
      </c>
    </row>
    <row r="236" spans="1:7" ht="12">
      <c r="A236" s="3">
        <v>230</v>
      </c>
      <c r="B236" s="19" t="s">
        <v>272</v>
      </c>
      <c r="C236" s="19"/>
      <c r="D236" s="2" t="s">
        <v>8</v>
      </c>
      <c r="E236" s="22">
        <v>1</v>
      </c>
      <c r="F236" s="24">
        <f t="shared" si="3"/>
        <v>154.39094999999998</v>
      </c>
      <c r="G236" s="7">
        <f>127.86*1.15</f>
        <v>147.039</v>
      </c>
    </row>
    <row r="237" spans="1:7" ht="12">
      <c r="A237" s="3">
        <v>231</v>
      </c>
      <c r="B237" s="19" t="s">
        <v>273</v>
      </c>
      <c r="C237" s="19"/>
      <c r="D237" s="2" t="s">
        <v>8</v>
      </c>
      <c r="E237" s="22">
        <v>1</v>
      </c>
      <c r="F237" s="24">
        <f t="shared" si="3"/>
        <v>137.34105</v>
      </c>
      <c r="G237" s="7">
        <f>113.74*1.15</f>
        <v>130.801</v>
      </c>
    </row>
    <row r="238" spans="1:7" ht="12">
      <c r="A238" s="3">
        <v>232</v>
      </c>
      <c r="B238" s="19" t="s">
        <v>274</v>
      </c>
      <c r="C238" s="19"/>
      <c r="D238" s="2" t="s">
        <v>8</v>
      </c>
      <c r="E238" s="22">
        <v>1</v>
      </c>
      <c r="F238" s="24">
        <f t="shared" si="3"/>
        <v>72.80017499999998</v>
      </c>
      <c r="G238" s="7">
        <f>60.29*1.15</f>
        <v>69.33349999999999</v>
      </c>
    </row>
    <row r="239" spans="1:7" ht="12">
      <c r="A239" s="3">
        <v>233</v>
      </c>
      <c r="B239" s="19" t="s">
        <v>275</v>
      </c>
      <c r="C239" s="19"/>
      <c r="D239" s="2" t="s">
        <v>8</v>
      </c>
      <c r="E239" s="22">
        <v>1</v>
      </c>
      <c r="F239" s="24">
        <f t="shared" si="3"/>
        <v>255.38625</v>
      </c>
      <c r="G239" s="7">
        <f>211.5*1.15</f>
        <v>243.225</v>
      </c>
    </row>
    <row r="240" spans="1:7" ht="12">
      <c r="A240" s="3">
        <v>234</v>
      </c>
      <c r="B240" s="19" t="s">
        <v>276</v>
      </c>
      <c r="C240" s="19"/>
      <c r="D240" s="2" t="s">
        <v>23</v>
      </c>
      <c r="E240" s="22">
        <v>1</v>
      </c>
      <c r="F240" s="24">
        <f t="shared" si="3"/>
        <v>530.3460749999999</v>
      </c>
      <c r="G240" s="7">
        <f>439.21*1.15</f>
        <v>505.09149999999994</v>
      </c>
    </row>
    <row r="241" spans="1:7" ht="12">
      <c r="A241" s="3">
        <v>235</v>
      </c>
      <c r="B241" s="19" t="s">
        <v>277</v>
      </c>
      <c r="C241" s="19"/>
      <c r="D241" s="2" t="s">
        <v>3</v>
      </c>
      <c r="E241" s="22">
        <v>1</v>
      </c>
      <c r="F241" s="24">
        <f t="shared" si="3"/>
        <v>249.68685</v>
      </c>
      <c r="G241" s="7">
        <f>206.78*1.15</f>
        <v>237.797</v>
      </c>
    </row>
    <row r="242" spans="1:7" ht="12">
      <c r="A242" s="3">
        <v>236</v>
      </c>
      <c r="B242" s="19" t="s">
        <v>278</v>
      </c>
      <c r="C242" s="19"/>
      <c r="D242" s="2" t="s">
        <v>8</v>
      </c>
      <c r="E242" s="22">
        <v>1</v>
      </c>
      <c r="F242" s="24">
        <f t="shared" si="3"/>
        <v>453.71812499999993</v>
      </c>
      <c r="G242" s="7">
        <f>375.75*1.15</f>
        <v>432.11249999999995</v>
      </c>
    </row>
    <row r="243" spans="1:7" ht="25.5" customHeight="1">
      <c r="A243" s="3">
        <v>237</v>
      </c>
      <c r="B243" s="19" t="s">
        <v>279</v>
      </c>
      <c r="C243" s="19"/>
      <c r="D243" s="2" t="s">
        <v>8</v>
      </c>
      <c r="E243" s="22">
        <v>1</v>
      </c>
      <c r="F243" s="24">
        <f t="shared" si="3"/>
        <v>363.19184999999993</v>
      </c>
      <c r="G243" s="7">
        <f>300.78*1.15</f>
        <v>345.89699999999993</v>
      </c>
    </row>
    <row r="244" spans="1:7" ht="24.75" customHeight="1">
      <c r="A244" s="3">
        <v>238</v>
      </c>
      <c r="B244" s="19" t="s">
        <v>280</v>
      </c>
      <c r="C244" s="19"/>
      <c r="D244" s="2" t="s">
        <v>23</v>
      </c>
      <c r="E244" s="22">
        <v>1</v>
      </c>
      <c r="F244" s="24">
        <f t="shared" si="3"/>
        <v>313.5636</v>
      </c>
      <c r="G244" s="7">
        <f>259.68*1.15</f>
        <v>298.632</v>
      </c>
    </row>
    <row r="245" spans="1:7" ht="24.75" customHeight="1">
      <c r="A245" s="3">
        <v>239</v>
      </c>
      <c r="B245" s="19" t="s">
        <v>281</v>
      </c>
      <c r="C245" s="19"/>
      <c r="D245" s="2" t="s">
        <v>23</v>
      </c>
      <c r="E245" s="22">
        <v>1</v>
      </c>
      <c r="F245" s="24">
        <f t="shared" si="3"/>
        <v>342.990375</v>
      </c>
      <c r="G245" s="7">
        <f>284.05*1.15</f>
        <v>326.65749999999997</v>
      </c>
    </row>
    <row r="246" spans="1:7" ht="24" customHeight="1">
      <c r="A246" s="3">
        <v>240</v>
      </c>
      <c r="B246" s="19" t="s">
        <v>282</v>
      </c>
      <c r="C246" s="19"/>
      <c r="D246" s="2" t="s">
        <v>8</v>
      </c>
      <c r="E246" s="22">
        <v>1</v>
      </c>
      <c r="F246" s="24">
        <f t="shared" si="3"/>
        <v>1126.2835499999999</v>
      </c>
      <c r="G246" s="7">
        <f>932.74*1.15</f>
        <v>1072.6509999999998</v>
      </c>
    </row>
    <row r="247" spans="1:7" ht="12">
      <c r="A247" s="3">
        <v>241</v>
      </c>
      <c r="B247" s="19" t="s">
        <v>283</v>
      </c>
      <c r="C247" s="19"/>
      <c r="D247" s="2" t="s">
        <v>23</v>
      </c>
      <c r="E247" s="22">
        <v>1</v>
      </c>
      <c r="F247" s="24">
        <f t="shared" si="3"/>
        <v>84.65782499999999</v>
      </c>
      <c r="G247" s="7">
        <f>70.11*1.15</f>
        <v>80.6265</v>
      </c>
    </row>
    <row r="248" spans="1:7" ht="12">
      <c r="A248" s="3">
        <v>242</v>
      </c>
      <c r="B248" s="19" t="s">
        <v>284</v>
      </c>
      <c r="C248" s="19"/>
      <c r="D248" s="2" t="s">
        <v>23</v>
      </c>
      <c r="E248" s="22">
        <v>1</v>
      </c>
      <c r="F248" s="24">
        <f t="shared" si="3"/>
        <v>278.01480000000004</v>
      </c>
      <c r="G248" s="7">
        <f>230.24*1.15</f>
        <v>264.776</v>
      </c>
    </row>
    <row r="249" spans="1:7" ht="12">
      <c r="A249" s="3">
        <v>243</v>
      </c>
      <c r="B249" s="19" t="s">
        <v>285</v>
      </c>
      <c r="C249" s="19"/>
      <c r="D249" s="2" t="s">
        <v>23</v>
      </c>
      <c r="E249" s="22">
        <v>1</v>
      </c>
      <c r="F249" s="24">
        <f t="shared" si="3"/>
        <v>338.5347</v>
      </c>
      <c r="G249" s="7">
        <f>280.36*1.15</f>
        <v>322.414</v>
      </c>
    </row>
    <row r="250" spans="1:7" ht="12">
      <c r="A250" s="3">
        <v>244</v>
      </c>
      <c r="B250" s="19" t="s">
        <v>286</v>
      </c>
      <c r="C250" s="19"/>
      <c r="D250" s="2" t="s">
        <v>3</v>
      </c>
      <c r="E250" s="22">
        <v>1</v>
      </c>
      <c r="F250" s="24">
        <f t="shared" si="3"/>
        <v>122.10239999999999</v>
      </c>
      <c r="G250" s="7">
        <f>101.12*1.15</f>
        <v>116.288</v>
      </c>
    </row>
    <row r="251" spans="1:7" ht="12">
      <c r="A251" s="3">
        <v>245</v>
      </c>
      <c r="B251" s="19" t="s">
        <v>287</v>
      </c>
      <c r="C251" s="19"/>
      <c r="D251" s="2" t="s">
        <v>8</v>
      </c>
      <c r="E251" s="22">
        <v>1</v>
      </c>
      <c r="F251" s="24">
        <f t="shared" si="3"/>
        <v>67.052475</v>
      </c>
      <c r="G251" s="7">
        <f>55.53*1.15</f>
        <v>63.8595</v>
      </c>
    </row>
    <row r="252" spans="1:7" ht="12">
      <c r="A252" s="3">
        <v>246</v>
      </c>
      <c r="B252" s="19" t="s">
        <v>288</v>
      </c>
      <c r="C252" s="19"/>
      <c r="D252" s="2" t="s">
        <v>8</v>
      </c>
      <c r="E252" s="22">
        <v>1</v>
      </c>
      <c r="F252" s="24">
        <f t="shared" si="3"/>
        <v>219.33029999999997</v>
      </c>
      <c r="G252" s="7">
        <f>181.64*1.15</f>
        <v>208.88599999999997</v>
      </c>
    </row>
    <row r="253" spans="1:7" ht="12">
      <c r="A253" s="3">
        <v>247</v>
      </c>
      <c r="B253" s="19" t="s">
        <v>289</v>
      </c>
      <c r="C253" s="19"/>
      <c r="D253" s="2" t="s">
        <v>8</v>
      </c>
      <c r="E253" s="22">
        <v>1</v>
      </c>
      <c r="F253" s="24">
        <f t="shared" si="3"/>
        <v>59.879925</v>
      </c>
      <c r="G253" s="7">
        <f>49.59*1.15</f>
        <v>57.0285</v>
      </c>
    </row>
    <row r="254" spans="1:7" ht="12">
      <c r="A254" s="3">
        <v>248</v>
      </c>
      <c r="B254" s="19" t="s">
        <v>290</v>
      </c>
      <c r="C254" s="19"/>
      <c r="D254" s="2" t="s">
        <v>8</v>
      </c>
      <c r="E254" s="22">
        <v>1</v>
      </c>
      <c r="F254" s="24">
        <f t="shared" si="3"/>
        <v>255.7968</v>
      </c>
      <c r="G254" s="7">
        <f>211.84*1.15</f>
        <v>243.61599999999999</v>
      </c>
    </row>
    <row r="255" spans="1:7" ht="26.25" customHeight="1">
      <c r="A255" s="3">
        <v>249</v>
      </c>
      <c r="B255" s="19" t="s">
        <v>291</v>
      </c>
      <c r="C255" s="19"/>
      <c r="D255" s="2" t="s">
        <v>23</v>
      </c>
      <c r="E255" s="22">
        <v>1</v>
      </c>
      <c r="F255" s="24">
        <f t="shared" si="3"/>
        <v>201.42307499999998</v>
      </c>
      <c r="G255" s="7">
        <f>166.81*1.15</f>
        <v>191.83149999999998</v>
      </c>
    </row>
    <row r="256" spans="1:7" ht="24" customHeight="1">
      <c r="A256" s="3">
        <v>250</v>
      </c>
      <c r="B256" s="19" t="s">
        <v>292</v>
      </c>
      <c r="C256" s="19"/>
      <c r="D256" s="2" t="s">
        <v>8</v>
      </c>
      <c r="E256" s="22">
        <v>1</v>
      </c>
      <c r="F256" s="24">
        <f t="shared" si="3"/>
        <v>1373.3380499999998</v>
      </c>
      <c r="G256" s="7">
        <f>1137.34*1.15</f>
        <v>1307.9409999999998</v>
      </c>
    </row>
    <row r="257" spans="1:7" ht="24" customHeight="1">
      <c r="A257" s="3">
        <v>251</v>
      </c>
      <c r="B257" s="19" t="s">
        <v>293</v>
      </c>
      <c r="C257" s="19"/>
      <c r="D257" s="2" t="s">
        <v>3</v>
      </c>
      <c r="E257" s="22">
        <v>1</v>
      </c>
      <c r="F257" s="24">
        <f t="shared" si="3"/>
        <v>336.50609999999995</v>
      </c>
      <c r="G257" s="7">
        <f>278.68*1.15</f>
        <v>320.48199999999997</v>
      </c>
    </row>
    <row r="258" spans="1:7" ht="14.25" customHeight="1">
      <c r="A258" s="3">
        <v>252</v>
      </c>
      <c r="B258" s="19" t="s">
        <v>294</v>
      </c>
      <c r="C258" s="19"/>
      <c r="D258" s="2" t="s">
        <v>3</v>
      </c>
      <c r="E258" s="22">
        <v>1</v>
      </c>
      <c r="F258" s="24">
        <f t="shared" si="3"/>
        <v>210.52762499999997</v>
      </c>
      <c r="G258" s="7">
        <f>174.35*1.15</f>
        <v>200.50249999999997</v>
      </c>
    </row>
    <row r="259" spans="1:7" ht="17.25" customHeight="1">
      <c r="A259" s="3">
        <v>253</v>
      </c>
      <c r="B259" s="19" t="s">
        <v>295</v>
      </c>
      <c r="C259" s="19"/>
      <c r="D259" s="2" t="s">
        <v>3</v>
      </c>
      <c r="E259" s="22">
        <v>1</v>
      </c>
      <c r="F259" s="24">
        <f t="shared" si="3"/>
        <v>577.0400999999999</v>
      </c>
      <c r="G259" s="7">
        <f>477.88*1.15</f>
        <v>549.5619999999999</v>
      </c>
    </row>
    <row r="260" spans="1:7" ht="24" customHeight="1">
      <c r="A260" s="3">
        <v>254</v>
      </c>
      <c r="B260" s="19" t="s">
        <v>296</v>
      </c>
      <c r="C260" s="19"/>
      <c r="D260" s="2" t="s">
        <v>3</v>
      </c>
      <c r="E260" s="22">
        <v>1</v>
      </c>
      <c r="F260" s="24">
        <f t="shared" si="3"/>
        <v>323.5616999999999</v>
      </c>
      <c r="G260" s="7">
        <f>267.96*1.15</f>
        <v>308.15399999999994</v>
      </c>
    </row>
    <row r="261" spans="1:7" ht="12">
      <c r="A261" s="3">
        <v>255</v>
      </c>
      <c r="B261" s="19" t="s">
        <v>297</v>
      </c>
      <c r="C261" s="19"/>
      <c r="D261" s="2" t="s">
        <v>8</v>
      </c>
      <c r="E261" s="22">
        <v>1</v>
      </c>
      <c r="F261" s="24">
        <f t="shared" si="3"/>
        <v>119.75985</v>
      </c>
      <c r="G261" s="7">
        <f>99.18*1.15</f>
        <v>114.057</v>
      </c>
    </row>
    <row r="262" spans="1:7" ht="12">
      <c r="A262" s="3">
        <v>256</v>
      </c>
      <c r="B262" s="19" t="s">
        <v>298</v>
      </c>
      <c r="C262" s="19"/>
      <c r="D262" s="2" t="s">
        <v>23</v>
      </c>
      <c r="E262" s="22">
        <v>1</v>
      </c>
      <c r="F262" s="24">
        <f t="shared" si="3"/>
        <v>371.2338</v>
      </c>
      <c r="G262" s="7">
        <f>307.44*1.15</f>
        <v>353.556</v>
      </c>
    </row>
    <row r="263" spans="1:7" ht="12">
      <c r="A263" s="3">
        <v>257</v>
      </c>
      <c r="B263" s="19" t="s">
        <v>299</v>
      </c>
      <c r="C263" s="19"/>
      <c r="D263" s="2" t="s">
        <v>8</v>
      </c>
      <c r="E263" s="22">
        <v>1</v>
      </c>
      <c r="F263" s="24">
        <f t="shared" si="3"/>
        <v>364.2786</v>
      </c>
      <c r="G263" s="7">
        <f>301.68*1.15</f>
        <v>346.93199999999996</v>
      </c>
    </row>
    <row r="264" spans="1:7" ht="12">
      <c r="A264" s="3">
        <v>258</v>
      </c>
      <c r="B264" s="19" t="s">
        <v>300</v>
      </c>
      <c r="C264" s="19"/>
      <c r="D264" s="2" t="s">
        <v>3</v>
      </c>
      <c r="E264" s="22">
        <v>1</v>
      </c>
      <c r="F264" s="24">
        <f aca="true" t="shared" si="4" ref="F264:F310">G264+(G264*5)/100</f>
        <v>53.40772499999999</v>
      </c>
      <c r="G264" s="7">
        <f>44.23*1.15</f>
        <v>50.86449999999999</v>
      </c>
    </row>
    <row r="265" spans="1:7" ht="12">
      <c r="A265" s="3">
        <v>259</v>
      </c>
      <c r="B265" s="19" t="s">
        <v>301</v>
      </c>
      <c r="C265" s="19"/>
      <c r="D265" s="2" t="s">
        <v>8</v>
      </c>
      <c r="E265" s="22">
        <v>1</v>
      </c>
      <c r="F265" s="24">
        <f t="shared" si="4"/>
        <v>27.084225</v>
      </c>
      <c r="G265" s="7">
        <f>22.43*1.15</f>
        <v>25.7945</v>
      </c>
    </row>
    <row r="266" spans="1:7" ht="12">
      <c r="A266" s="3">
        <v>260</v>
      </c>
      <c r="B266" s="19" t="s">
        <v>302</v>
      </c>
      <c r="C266" s="19"/>
      <c r="D266" s="2" t="s">
        <v>3</v>
      </c>
      <c r="E266" s="22">
        <v>1</v>
      </c>
      <c r="F266" s="24">
        <f t="shared" si="4"/>
        <v>128.27272499999998</v>
      </c>
      <c r="G266" s="7">
        <f>106.23*1.15</f>
        <v>122.16449999999999</v>
      </c>
    </row>
    <row r="267" spans="1:7" ht="23.25" customHeight="1">
      <c r="A267" s="3">
        <v>261</v>
      </c>
      <c r="B267" s="19" t="s">
        <v>303</v>
      </c>
      <c r="C267" s="19"/>
      <c r="D267" s="2" t="s">
        <v>8</v>
      </c>
      <c r="E267" s="22">
        <v>1</v>
      </c>
      <c r="F267" s="24">
        <f t="shared" si="4"/>
        <v>41.24819999999999</v>
      </c>
      <c r="G267" s="7">
        <f>34.16*1.15</f>
        <v>39.28399999999999</v>
      </c>
    </row>
    <row r="268" spans="1:7" ht="12">
      <c r="A268" s="3">
        <v>262</v>
      </c>
      <c r="B268" s="19" t="s">
        <v>304</v>
      </c>
      <c r="C268" s="19"/>
      <c r="D268" s="2" t="s">
        <v>3</v>
      </c>
      <c r="E268" s="22">
        <v>1</v>
      </c>
      <c r="F268" s="24">
        <f t="shared" si="4"/>
        <v>68.501475</v>
      </c>
      <c r="G268" s="7">
        <f>56.73*1.15</f>
        <v>65.23949999999999</v>
      </c>
    </row>
    <row r="269" spans="1:7" ht="24.75" customHeight="1">
      <c r="A269" s="3">
        <v>263</v>
      </c>
      <c r="B269" s="19" t="s">
        <v>305</v>
      </c>
      <c r="C269" s="19"/>
      <c r="D269" s="2" t="s">
        <v>8</v>
      </c>
      <c r="E269" s="22">
        <v>1</v>
      </c>
      <c r="F269" s="24">
        <f t="shared" si="4"/>
        <v>399.41684999999995</v>
      </c>
      <c r="G269" s="7">
        <f>330.78*1.15</f>
        <v>380.39699999999993</v>
      </c>
    </row>
    <row r="270" spans="1:7" ht="12">
      <c r="A270" s="3">
        <v>264</v>
      </c>
      <c r="B270" s="19" t="s">
        <v>306</v>
      </c>
      <c r="C270" s="19"/>
      <c r="D270" s="2" t="s">
        <v>23</v>
      </c>
      <c r="E270" s="22">
        <v>1</v>
      </c>
      <c r="F270" s="24">
        <f t="shared" si="4"/>
        <v>50.123324999999994</v>
      </c>
      <c r="G270" s="7">
        <f>41.51*1.15</f>
        <v>47.73649999999999</v>
      </c>
    </row>
    <row r="271" spans="1:7" ht="12">
      <c r="A271" s="3">
        <v>266</v>
      </c>
      <c r="B271" s="19" t="s">
        <v>307</v>
      </c>
      <c r="C271" s="19"/>
      <c r="D271" s="2" t="s">
        <v>108</v>
      </c>
      <c r="E271" s="22">
        <v>1</v>
      </c>
      <c r="F271" s="24">
        <f t="shared" si="4"/>
        <v>340.7082</v>
      </c>
      <c r="G271" s="7">
        <f>282.16*1.15</f>
        <v>324.484</v>
      </c>
    </row>
    <row r="272" spans="1:7" ht="12">
      <c r="A272" s="3">
        <v>267</v>
      </c>
      <c r="B272" s="19" t="s">
        <v>308</v>
      </c>
      <c r="C272" s="19"/>
      <c r="D272" s="2" t="s">
        <v>23</v>
      </c>
      <c r="E272" s="22">
        <v>1</v>
      </c>
      <c r="F272" s="24">
        <f t="shared" si="4"/>
        <v>55.412175</v>
      </c>
      <c r="G272" s="7">
        <f>45.89*1.15</f>
        <v>52.7735</v>
      </c>
    </row>
    <row r="273" spans="1:7" ht="12">
      <c r="A273" s="3">
        <v>268</v>
      </c>
      <c r="B273" s="19" t="s">
        <v>309</v>
      </c>
      <c r="C273" s="19"/>
      <c r="D273" s="2" t="s">
        <v>3</v>
      </c>
      <c r="E273" s="22">
        <v>1</v>
      </c>
      <c r="F273" s="24">
        <f t="shared" si="4"/>
        <v>782.6169749999999</v>
      </c>
      <c r="G273" s="7">
        <f>648.13*1.15</f>
        <v>745.3494999999999</v>
      </c>
    </row>
    <row r="274" spans="1:7" ht="24.75" customHeight="1">
      <c r="A274" s="3">
        <v>269</v>
      </c>
      <c r="B274" s="19" t="s">
        <v>310</v>
      </c>
      <c r="C274" s="19"/>
      <c r="D274" s="2" t="s">
        <v>3</v>
      </c>
      <c r="E274" s="22">
        <v>1</v>
      </c>
      <c r="F274" s="24">
        <f t="shared" si="4"/>
        <v>4416.153525</v>
      </c>
      <c r="G274" s="7">
        <f>3657.27*1.15</f>
        <v>4205.8605</v>
      </c>
    </row>
    <row r="275" spans="1:7" ht="12">
      <c r="A275" s="3">
        <v>270</v>
      </c>
      <c r="B275" s="19" t="s">
        <v>311</v>
      </c>
      <c r="C275" s="19"/>
      <c r="D275" s="2" t="s">
        <v>3</v>
      </c>
      <c r="E275" s="22">
        <v>1</v>
      </c>
      <c r="F275" s="24">
        <f t="shared" si="4"/>
        <v>2585.8008749999995</v>
      </c>
      <c r="G275" s="7">
        <f>2141.45*1.15</f>
        <v>2462.6674999999996</v>
      </c>
    </row>
    <row r="276" spans="1:7" ht="12">
      <c r="A276" s="3">
        <v>271</v>
      </c>
      <c r="B276" s="19" t="s">
        <v>312</v>
      </c>
      <c r="C276" s="19"/>
      <c r="D276" s="2" t="s">
        <v>8</v>
      </c>
      <c r="E276" s="22">
        <v>1</v>
      </c>
      <c r="F276" s="24">
        <f t="shared" si="4"/>
        <v>3844.1004</v>
      </c>
      <c r="G276" s="7">
        <f>3183.52*1.15</f>
        <v>3661.048</v>
      </c>
    </row>
    <row r="277" spans="1:7" ht="12">
      <c r="A277" s="3">
        <v>272</v>
      </c>
      <c r="B277" s="19" t="s">
        <v>313</v>
      </c>
      <c r="C277" s="19"/>
      <c r="D277" s="2" t="s">
        <v>8</v>
      </c>
      <c r="E277" s="22">
        <v>1</v>
      </c>
      <c r="F277" s="24">
        <f t="shared" si="4"/>
        <v>462.55702499999995</v>
      </c>
      <c r="G277" s="7">
        <f>383.07*1.15</f>
        <v>440.53049999999996</v>
      </c>
    </row>
    <row r="278" spans="1:7" ht="12">
      <c r="A278" s="3">
        <v>273</v>
      </c>
      <c r="B278" s="19" t="s">
        <v>314</v>
      </c>
      <c r="C278" s="19"/>
      <c r="D278" s="2" t="s">
        <v>8</v>
      </c>
      <c r="E278" s="22">
        <v>1</v>
      </c>
      <c r="F278" s="24">
        <f t="shared" si="4"/>
        <v>1752.3481499999998</v>
      </c>
      <c r="G278" s="7">
        <f>1451.22*1.15</f>
        <v>1668.9029999999998</v>
      </c>
    </row>
    <row r="279" spans="1:7" ht="24.75" customHeight="1">
      <c r="A279" s="3">
        <v>274</v>
      </c>
      <c r="B279" s="19" t="s">
        <v>315</v>
      </c>
      <c r="C279" s="19"/>
      <c r="D279" s="2" t="s">
        <v>8</v>
      </c>
      <c r="E279" s="22">
        <v>1</v>
      </c>
      <c r="F279" s="24">
        <f t="shared" si="4"/>
        <v>26.359724999999994</v>
      </c>
      <c r="G279" s="7">
        <f>21.83*1.15</f>
        <v>25.104499999999994</v>
      </c>
    </row>
    <row r="280" spans="1:7" ht="12">
      <c r="A280" s="3">
        <v>275</v>
      </c>
      <c r="B280" s="19" t="s">
        <v>316</v>
      </c>
      <c r="C280" s="19"/>
      <c r="D280" s="2" t="s">
        <v>23</v>
      </c>
      <c r="E280" s="22">
        <v>1</v>
      </c>
      <c r="F280" s="24">
        <f t="shared" si="4"/>
        <v>243.28709999999995</v>
      </c>
      <c r="G280" s="7">
        <f>201.48*1.15</f>
        <v>231.70199999999997</v>
      </c>
    </row>
    <row r="281" spans="1:7" ht="23.25" customHeight="1">
      <c r="A281" s="3">
        <v>276</v>
      </c>
      <c r="B281" s="19" t="s">
        <v>317</v>
      </c>
      <c r="C281" s="19"/>
      <c r="D281" s="2" t="s">
        <v>3</v>
      </c>
      <c r="E281" s="22">
        <v>1</v>
      </c>
      <c r="F281" s="24">
        <f t="shared" si="4"/>
        <v>175.63087499999997</v>
      </c>
      <c r="G281" s="7">
        <f>145.45*1.15</f>
        <v>167.26749999999998</v>
      </c>
    </row>
    <row r="282" spans="1:7" ht="12">
      <c r="A282" s="3">
        <v>277</v>
      </c>
      <c r="B282" s="19" t="s">
        <v>318</v>
      </c>
      <c r="C282" s="19"/>
      <c r="D282" s="2" t="s">
        <v>8</v>
      </c>
      <c r="E282" s="22">
        <v>1</v>
      </c>
      <c r="F282" s="24">
        <f t="shared" si="4"/>
        <v>1870.7435249999996</v>
      </c>
      <c r="G282" s="7">
        <f>1549.27*1.15</f>
        <v>1781.6604999999997</v>
      </c>
    </row>
    <row r="283" spans="1:7" ht="23.25" customHeight="1">
      <c r="A283" s="3">
        <v>278</v>
      </c>
      <c r="B283" s="19" t="s">
        <v>319</v>
      </c>
      <c r="C283" s="19"/>
      <c r="D283" s="2" t="s">
        <v>8</v>
      </c>
      <c r="E283" s="22">
        <v>1</v>
      </c>
      <c r="F283" s="24">
        <f t="shared" si="4"/>
        <v>848.1359249999999</v>
      </c>
      <c r="G283" s="7">
        <f>702.39*1.15</f>
        <v>807.7484999999999</v>
      </c>
    </row>
    <row r="284" spans="1:7" ht="12">
      <c r="A284" s="3">
        <v>279</v>
      </c>
      <c r="B284" s="19" t="s">
        <v>320</v>
      </c>
      <c r="C284" s="19"/>
      <c r="D284" s="2" t="s">
        <v>321</v>
      </c>
      <c r="E284" s="22">
        <v>1</v>
      </c>
      <c r="F284" s="24">
        <f t="shared" si="4"/>
        <v>39.255825</v>
      </c>
      <c r="G284" s="7">
        <f>32.51*1.15</f>
        <v>37.3865</v>
      </c>
    </row>
    <row r="285" spans="1:7" ht="12">
      <c r="A285" s="3">
        <v>280</v>
      </c>
      <c r="B285" s="19" t="s">
        <v>322</v>
      </c>
      <c r="C285" s="19"/>
      <c r="D285" s="2" t="s">
        <v>8</v>
      </c>
      <c r="E285" s="22">
        <v>1</v>
      </c>
      <c r="F285" s="24">
        <f t="shared" si="4"/>
        <v>2322.1191</v>
      </c>
      <c r="G285" s="7">
        <f>1923.08*1.15</f>
        <v>2211.542</v>
      </c>
    </row>
    <row r="286" spans="1:7" ht="12">
      <c r="A286" s="3">
        <v>281</v>
      </c>
      <c r="B286" s="19" t="s">
        <v>323</v>
      </c>
      <c r="C286" s="19"/>
      <c r="D286" s="2" t="s">
        <v>8</v>
      </c>
      <c r="E286" s="22">
        <v>1</v>
      </c>
      <c r="F286" s="24">
        <f t="shared" si="4"/>
        <v>1023.5011499999999</v>
      </c>
      <c r="G286" s="7">
        <f>847.62*1.15</f>
        <v>974.7629999999999</v>
      </c>
    </row>
    <row r="287" spans="1:7" ht="24.75" customHeight="1">
      <c r="A287" s="3">
        <v>282</v>
      </c>
      <c r="B287" s="19" t="s">
        <v>324</v>
      </c>
      <c r="C287" s="19"/>
      <c r="D287" s="2" t="s">
        <v>3</v>
      </c>
      <c r="E287" s="22">
        <v>1</v>
      </c>
      <c r="F287" s="24">
        <f t="shared" si="4"/>
        <v>406.80674999999997</v>
      </c>
      <c r="G287" s="7">
        <f>336.9*1.15</f>
        <v>387.43499999999995</v>
      </c>
    </row>
    <row r="288" spans="1:7" ht="12">
      <c r="A288" s="3">
        <v>283</v>
      </c>
      <c r="B288" s="19" t="s">
        <v>325</v>
      </c>
      <c r="C288" s="19"/>
      <c r="D288" s="2" t="s">
        <v>24</v>
      </c>
      <c r="E288" s="22">
        <v>1</v>
      </c>
      <c r="F288" s="24">
        <f t="shared" si="4"/>
        <v>4712.2446</v>
      </c>
      <c r="G288" s="7">
        <f>3902.48*1.15</f>
        <v>4487.852</v>
      </c>
    </row>
    <row r="289" spans="1:7" ht="12">
      <c r="A289" s="3">
        <v>284</v>
      </c>
      <c r="B289" s="19" t="s">
        <v>326</v>
      </c>
      <c r="C289" s="19"/>
      <c r="D289" s="2" t="s">
        <v>24</v>
      </c>
      <c r="E289" s="22">
        <v>1</v>
      </c>
      <c r="F289" s="24">
        <f t="shared" si="4"/>
        <v>4776.387</v>
      </c>
      <c r="G289" s="7">
        <f>3955.6*1.15</f>
        <v>4548.94</v>
      </c>
    </row>
    <row r="290" spans="1:7" ht="12">
      <c r="A290" s="3">
        <v>285</v>
      </c>
      <c r="B290" s="19" t="s">
        <v>327</v>
      </c>
      <c r="C290" s="19"/>
      <c r="D290" s="2" t="s">
        <v>328</v>
      </c>
      <c r="E290" s="22">
        <v>1</v>
      </c>
      <c r="F290" s="24">
        <f t="shared" si="4"/>
        <v>3358.238625</v>
      </c>
      <c r="G290" s="7">
        <f>2781.15*1.15</f>
        <v>3198.3224999999998</v>
      </c>
    </row>
    <row r="291" spans="1:7" ht="24" customHeight="1">
      <c r="A291" s="3">
        <v>286</v>
      </c>
      <c r="B291" s="19" t="s">
        <v>329</v>
      </c>
      <c r="C291" s="19"/>
      <c r="D291" s="2" t="s">
        <v>330</v>
      </c>
      <c r="E291" s="22">
        <v>1</v>
      </c>
      <c r="F291" s="24">
        <f t="shared" si="4"/>
        <v>508.47825</v>
      </c>
      <c r="G291" s="7">
        <f>421.1*1.15</f>
        <v>484.265</v>
      </c>
    </row>
    <row r="292" spans="1:7" ht="12">
      <c r="A292" s="3">
        <v>287</v>
      </c>
      <c r="B292" s="19" t="s">
        <v>331</v>
      </c>
      <c r="C292" s="19"/>
      <c r="D292" s="2" t="s">
        <v>23</v>
      </c>
      <c r="E292" s="22">
        <v>1</v>
      </c>
      <c r="F292" s="24">
        <f t="shared" si="4"/>
        <v>197.43832499999996</v>
      </c>
      <c r="G292" s="7">
        <f>163.51*1.15</f>
        <v>188.03649999999996</v>
      </c>
    </row>
    <row r="293" spans="1:7" ht="12">
      <c r="A293" s="3">
        <v>288</v>
      </c>
      <c r="B293" s="19" t="s">
        <v>332</v>
      </c>
      <c r="C293" s="19"/>
      <c r="D293" s="2" t="s">
        <v>23</v>
      </c>
      <c r="E293" s="22">
        <v>1</v>
      </c>
      <c r="F293" s="24">
        <f t="shared" si="4"/>
        <v>112.24919999999997</v>
      </c>
      <c r="G293" s="7">
        <f>92.96*1.15</f>
        <v>106.90399999999998</v>
      </c>
    </row>
    <row r="294" spans="1:7" ht="12">
      <c r="A294" s="3">
        <v>289</v>
      </c>
      <c r="B294" s="19" t="s">
        <v>333</v>
      </c>
      <c r="C294" s="19"/>
      <c r="D294" s="2" t="s">
        <v>3</v>
      </c>
      <c r="E294" s="22">
        <v>1</v>
      </c>
      <c r="F294" s="24">
        <f t="shared" si="4"/>
        <v>610.717275</v>
      </c>
      <c r="G294" s="7">
        <f>505.77*1.15</f>
        <v>581.6355</v>
      </c>
    </row>
    <row r="295" spans="1:7" ht="24.75" customHeight="1">
      <c r="A295" s="3">
        <v>290</v>
      </c>
      <c r="B295" s="19" t="s">
        <v>334</v>
      </c>
      <c r="C295" s="19"/>
      <c r="D295" s="2" t="s">
        <v>3</v>
      </c>
      <c r="E295" s="22">
        <v>1</v>
      </c>
      <c r="F295" s="24">
        <f t="shared" si="4"/>
        <v>548.4464999999999</v>
      </c>
      <c r="G295" s="7">
        <f>454.2*1.15</f>
        <v>522.3299999999999</v>
      </c>
    </row>
    <row r="296" spans="1:7" ht="23.25" customHeight="1">
      <c r="A296" s="3">
        <v>291</v>
      </c>
      <c r="B296" s="19" t="s">
        <v>335</v>
      </c>
      <c r="C296" s="19"/>
      <c r="D296" s="2" t="s">
        <v>23</v>
      </c>
      <c r="E296" s="22">
        <v>1</v>
      </c>
      <c r="F296" s="24">
        <f t="shared" si="4"/>
        <v>1617.868875</v>
      </c>
      <c r="G296" s="7">
        <f>1339.85*1.15</f>
        <v>1540.8274999999999</v>
      </c>
    </row>
    <row r="297" spans="1:7" ht="12">
      <c r="A297" s="3">
        <v>292</v>
      </c>
      <c r="B297" s="19" t="s">
        <v>336</v>
      </c>
      <c r="C297" s="19"/>
      <c r="D297" s="2" t="s">
        <v>23</v>
      </c>
      <c r="E297" s="22">
        <v>1</v>
      </c>
      <c r="F297" s="24">
        <f t="shared" si="4"/>
        <v>1056.4779749999998</v>
      </c>
      <c r="G297" s="7">
        <f>874.93*1.15</f>
        <v>1006.1694999999999</v>
      </c>
    </row>
    <row r="298" spans="1:7" ht="12">
      <c r="A298" s="3">
        <v>293</v>
      </c>
      <c r="B298" s="19" t="s">
        <v>337</v>
      </c>
      <c r="C298" s="19"/>
      <c r="D298" s="2" t="s">
        <v>3</v>
      </c>
      <c r="E298" s="22">
        <v>1</v>
      </c>
      <c r="F298" s="24">
        <f t="shared" si="4"/>
        <v>99.12367499999999</v>
      </c>
      <c r="G298" s="7">
        <f>82.09*1.15</f>
        <v>94.4035</v>
      </c>
    </row>
    <row r="299" spans="1:7" ht="12">
      <c r="A299" s="3">
        <v>294</v>
      </c>
      <c r="B299" s="19" t="s">
        <v>338</v>
      </c>
      <c r="C299" s="19"/>
      <c r="D299" s="2" t="s">
        <v>3</v>
      </c>
      <c r="E299" s="22">
        <v>1</v>
      </c>
      <c r="F299" s="24">
        <f t="shared" si="4"/>
        <v>301.85085</v>
      </c>
      <c r="G299" s="7">
        <f>249.98*1.15</f>
        <v>287.477</v>
      </c>
    </row>
    <row r="300" spans="1:7" ht="24.75" customHeight="1">
      <c r="A300" s="3">
        <v>295</v>
      </c>
      <c r="B300" s="19" t="s">
        <v>339</v>
      </c>
      <c r="C300" s="19"/>
      <c r="D300" s="2" t="s">
        <v>3</v>
      </c>
      <c r="E300" s="22">
        <v>1</v>
      </c>
      <c r="F300" s="24">
        <f t="shared" si="4"/>
        <v>99.00292499999999</v>
      </c>
      <c r="G300" s="7">
        <f>81.99*1.15</f>
        <v>94.28849999999998</v>
      </c>
    </row>
    <row r="301" spans="1:7" ht="12">
      <c r="A301" s="3">
        <v>296</v>
      </c>
      <c r="B301" s="19" t="s">
        <v>340</v>
      </c>
      <c r="C301" s="19"/>
      <c r="D301" s="2" t="s">
        <v>341</v>
      </c>
      <c r="E301" s="22">
        <v>1</v>
      </c>
      <c r="F301" s="24">
        <f t="shared" si="4"/>
        <v>532.278075</v>
      </c>
      <c r="G301" s="7">
        <f>440.81*1.15</f>
        <v>506.93149999999997</v>
      </c>
    </row>
    <row r="302" spans="1:7" ht="12">
      <c r="A302" s="3">
        <v>297</v>
      </c>
      <c r="B302" s="19" t="s">
        <v>342</v>
      </c>
      <c r="C302" s="19"/>
      <c r="D302" s="2" t="s">
        <v>341</v>
      </c>
      <c r="E302" s="22">
        <v>1</v>
      </c>
      <c r="F302" s="24">
        <f t="shared" si="4"/>
        <v>217.95374999999999</v>
      </c>
      <c r="G302" s="7">
        <f>180.5*1.15</f>
        <v>207.575</v>
      </c>
    </row>
    <row r="303" spans="1:7" ht="12">
      <c r="A303" s="3">
        <v>298</v>
      </c>
      <c r="B303" s="19" t="s">
        <v>343</v>
      </c>
      <c r="C303" s="19"/>
      <c r="D303" s="2" t="s">
        <v>23</v>
      </c>
      <c r="E303" s="22">
        <v>1</v>
      </c>
      <c r="F303" s="24">
        <f t="shared" si="4"/>
        <v>22.061024999999997</v>
      </c>
      <c r="G303" s="7">
        <f>18.27*1.15</f>
        <v>21.010499999999997</v>
      </c>
    </row>
    <row r="304" spans="1:7" ht="12">
      <c r="A304" s="3">
        <v>299</v>
      </c>
      <c r="B304" s="19" t="s">
        <v>344</v>
      </c>
      <c r="C304" s="19"/>
      <c r="D304" s="2" t="s">
        <v>3</v>
      </c>
      <c r="E304" s="22">
        <v>1</v>
      </c>
      <c r="F304" s="24">
        <f t="shared" si="4"/>
        <v>367.671675</v>
      </c>
      <c r="G304" s="7">
        <f>304.49*1.15</f>
        <v>350.1635</v>
      </c>
    </row>
    <row r="305" spans="1:7" ht="24.75" customHeight="1">
      <c r="A305" s="3">
        <v>300</v>
      </c>
      <c r="B305" s="19" t="s">
        <v>345</v>
      </c>
      <c r="C305" s="19"/>
      <c r="D305" s="2" t="s">
        <v>23</v>
      </c>
      <c r="E305" s="22">
        <v>1</v>
      </c>
      <c r="F305" s="24">
        <f t="shared" si="4"/>
        <v>309.72374999999994</v>
      </c>
      <c r="G305" s="7">
        <f>256.5*1.15</f>
        <v>294.97499999999997</v>
      </c>
    </row>
    <row r="306" spans="1:7" ht="24" customHeight="1">
      <c r="A306" s="3">
        <v>301</v>
      </c>
      <c r="B306" s="19" t="s">
        <v>346</v>
      </c>
      <c r="C306" s="19"/>
      <c r="D306" s="2" t="s">
        <v>22</v>
      </c>
      <c r="E306" s="22">
        <v>1</v>
      </c>
      <c r="F306" s="24">
        <f t="shared" si="4"/>
        <v>7105.666574999998</v>
      </c>
      <c r="G306" s="7">
        <f>5884.61*1.15</f>
        <v>6767.301499999999</v>
      </c>
    </row>
    <row r="307" spans="1:7" ht="12">
      <c r="A307" s="3">
        <v>302</v>
      </c>
      <c r="B307" s="19" t="s">
        <v>347</v>
      </c>
      <c r="C307" s="19"/>
      <c r="D307" s="2" t="s">
        <v>257</v>
      </c>
      <c r="E307" s="22">
        <v>1</v>
      </c>
      <c r="F307" s="24">
        <f t="shared" si="4"/>
        <v>894.0209249999999</v>
      </c>
      <c r="G307" s="7">
        <f>740.39*1.15</f>
        <v>851.4485</v>
      </c>
    </row>
    <row r="308" spans="1:7" ht="23.25" customHeight="1">
      <c r="A308" s="3">
        <v>303</v>
      </c>
      <c r="B308" s="19" t="s">
        <v>348</v>
      </c>
      <c r="C308" s="19"/>
      <c r="D308" s="2" t="s">
        <v>24</v>
      </c>
      <c r="E308" s="22">
        <v>1</v>
      </c>
      <c r="F308" s="24">
        <f t="shared" si="4"/>
        <v>5422.810049999999</v>
      </c>
      <c r="G308" s="7">
        <f>4490.94*1.15</f>
        <v>5164.580999999999</v>
      </c>
    </row>
    <row r="309" spans="1:7" ht="25.5" customHeight="1">
      <c r="A309" s="3">
        <v>304</v>
      </c>
      <c r="B309" s="19" t="s">
        <v>349</v>
      </c>
      <c r="C309" s="19"/>
      <c r="D309" s="2" t="s">
        <v>23</v>
      </c>
      <c r="E309" s="22">
        <v>1</v>
      </c>
      <c r="F309" s="24">
        <f t="shared" si="4"/>
        <v>34.039425</v>
      </c>
      <c r="G309" s="7">
        <f>28.19*1.15</f>
        <v>32.4185</v>
      </c>
    </row>
    <row r="310" spans="1:7" ht="12">
      <c r="A310" s="3">
        <v>305</v>
      </c>
      <c r="B310" s="19" t="s">
        <v>350</v>
      </c>
      <c r="C310" s="19"/>
      <c r="D310" s="2" t="s">
        <v>351</v>
      </c>
      <c r="E310" s="22">
        <v>1</v>
      </c>
      <c r="F310" s="24">
        <f t="shared" si="4"/>
        <v>133.59779999999998</v>
      </c>
      <c r="G310" s="8">
        <f>110.64*1.15</f>
        <v>127.23599999999999</v>
      </c>
    </row>
    <row r="311" spans="1:7" ht="11.25">
      <c r="A311" s="1"/>
      <c r="B311" s="1"/>
      <c r="C311" s="1"/>
      <c r="D311" s="1"/>
      <c r="E311" s="23"/>
      <c r="F311" s="23"/>
      <c r="G311" s="1"/>
    </row>
    <row r="313" spans="1:7" ht="12.75">
      <c r="A313" s="13" t="s">
        <v>356</v>
      </c>
      <c r="B313" s="13"/>
      <c r="C313" s="13"/>
      <c r="D313" s="13"/>
      <c r="E313" s="13"/>
      <c r="F313" s="13"/>
      <c r="G313" s="13"/>
    </row>
    <row r="314" spans="1:7" ht="12.75">
      <c r="A314" s="13" t="s">
        <v>357</v>
      </c>
      <c r="B314" s="13"/>
      <c r="C314" s="13"/>
      <c r="D314" s="13"/>
      <c r="E314" s="13"/>
      <c r="F314" s="13"/>
      <c r="G314" s="13"/>
    </row>
  </sheetData>
  <sheetProtection/>
  <mergeCells count="310">
    <mergeCell ref="B297:C297"/>
    <mergeCell ref="B298:C298"/>
    <mergeCell ref="B309:C309"/>
    <mergeCell ref="B300:C300"/>
    <mergeCell ref="B301:C301"/>
    <mergeCell ref="B302:C302"/>
    <mergeCell ref="B303:C303"/>
    <mergeCell ref="B304:C304"/>
    <mergeCell ref="B292:C292"/>
    <mergeCell ref="B293:C293"/>
    <mergeCell ref="B310:C310"/>
    <mergeCell ref="B305:C305"/>
    <mergeCell ref="B306:C306"/>
    <mergeCell ref="B307:C307"/>
    <mergeCell ref="B308:C308"/>
    <mergeCell ref="B294:C294"/>
    <mergeCell ref="B295:C295"/>
    <mergeCell ref="B296:C296"/>
    <mergeCell ref="B283:C283"/>
    <mergeCell ref="B284:C284"/>
    <mergeCell ref="B285:C285"/>
    <mergeCell ref="B286:C286"/>
    <mergeCell ref="B287:C287"/>
    <mergeCell ref="B299:C299"/>
    <mergeCell ref="B288:C288"/>
    <mergeCell ref="B289:C289"/>
    <mergeCell ref="B290:C290"/>
    <mergeCell ref="B291:C291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2:C72"/>
    <mergeCell ref="B73:C73"/>
    <mergeCell ref="B74:C74"/>
    <mergeCell ref="B64:C64"/>
    <mergeCell ref="B65:C65"/>
    <mergeCell ref="B63:C63"/>
    <mergeCell ref="B71:C71"/>
    <mergeCell ref="B70:C70"/>
    <mergeCell ref="B68:C68"/>
    <mergeCell ref="B69:C69"/>
    <mergeCell ref="B66:C66"/>
    <mergeCell ref="B67:C67"/>
    <mergeCell ref="B62:C62"/>
    <mergeCell ref="B59:C59"/>
    <mergeCell ref="B60:C60"/>
    <mergeCell ref="B61:C61"/>
    <mergeCell ref="B58:C58"/>
    <mergeCell ref="B57:C57"/>
    <mergeCell ref="B56:C56"/>
    <mergeCell ref="B55:C55"/>
    <mergeCell ref="B54:C54"/>
    <mergeCell ref="B53:C53"/>
    <mergeCell ref="B50:C50"/>
    <mergeCell ref="B51:C51"/>
    <mergeCell ref="B52:C52"/>
    <mergeCell ref="B49:C49"/>
    <mergeCell ref="B47:C47"/>
    <mergeCell ref="B48:C48"/>
    <mergeCell ref="B37:C37"/>
    <mergeCell ref="B38:C38"/>
    <mergeCell ref="B39:C39"/>
    <mergeCell ref="B44:C44"/>
    <mergeCell ref="B45:C45"/>
    <mergeCell ref="B46:C46"/>
    <mergeCell ref="B40:C40"/>
    <mergeCell ref="B41:C41"/>
    <mergeCell ref="B42:C42"/>
    <mergeCell ref="B43:C43"/>
    <mergeCell ref="B27:C27"/>
    <mergeCell ref="B28:C28"/>
    <mergeCell ref="B29:C29"/>
    <mergeCell ref="B34:C34"/>
    <mergeCell ref="B35:C35"/>
    <mergeCell ref="B36:C36"/>
    <mergeCell ref="B25:C25"/>
    <mergeCell ref="B22:C22"/>
    <mergeCell ref="B23:C23"/>
    <mergeCell ref="B24:C24"/>
    <mergeCell ref="B21:C21"/>
    <mergeCell ref="B33:C33"/>
    <mergeCell ref="B30:C30"/>
    <mergeCell ref="B31:C31"/>
    <mergeCell ref="B32:C32"/>
    <mergeCell ref="B26:C26"/>
    <mergeCell ref="A3:G3"/>
    <mergeCell ref="A5:D5"/>
    <mergeCell ref="B6:C6"/>
    <mergeCell ref="A4:G4"/>
    <mergeCell ref="B20:C20"/>
    <mergeCell ref="B18:C18"/>
    <mergeCell ref="B19:C19"/>
    <mergeCell ref="B17:C17"/>
    <mergeCell ref="B11:C11"/>
    <mergeCell ref="B12:C12"/>
    <mergeCell ref="A313:G313"/>
    <mergeCell ref="A314:G314"/>
    <mergeCell ref="B9:C9"/>
    <mergeCell ref="B10:C10"/>
    <mergeCell ref="B7:C7"/>
    <mergeCell ref="B8:C8"/>
    <mergeCell ref="B13:C13"/>
    <mergeCell ref="B14:C14"/>
    <mergeCell ref="B15:C15"/>
    <mergeCell ref="B16:C16"/>
  </mergeCells>
  <printOptions/>
  <pageMargins left="0.343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PTO2</dc:creator>
  <cp:keywords/>
  <dc:description/>
  <cp:lastModifiedBy>Marina</cp:lastModifiedBy>
  <cp:lastPrinted>2019-03-27T06:12:29Z</cp:lastPrinted>
  <dcterms:modified xsi:type="dcterms:W3CDTF">2019-03-27T06:40:30Z</dcterms:modified>
  <cp:category/>
  <cp:version/>
  <cp:contentType/>
  <cp:contentStatus/>
</cp:coreProperties>
</file>